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. Hypothèses" sheetId="1" state="visible" r:id="rId1"/>
    <sheet xmlns:r="http://schemas.openxmlformats.org/officeDocument/2006/relationships" name="2. SCI IR" sheetId="2" state="visible" r:id="rId2"/>
    <sheet xmlns:r="http://schemas.openxmlformats.org/officeDocument/2006/relationships" name="3. SCI IS" sheetId="3" state="visible" r:id="rId3"/>
    <sheet xmlns:r="http://schemas.openxmlformats.org/officeDocument/2006/relationships" name="4. Comparatif" sheetId="4" state="visible" r:id="rId4"/>
    <sheet xmlns:r="http://schemas.openxmlformats.org/officeDocument/2006/relationships" name="5. Check-list holding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 &quot;€&quot;"/>
    <numFmt numFmtId="165" formatCode="#,##0 &quot;€&quot;;[Red]-#,##0 &quot;€&quot;"/>
  </numFmts>
  <fonts count="12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i val="1"/>
      <color rgb="00C4A87A"/>
      <sz val="10"/>
    </font>
    <font>
      <name val="Arial"/>
      <b val="1"/>
      <color rgb="000D6E7A"/>
      <sz val="14"/>
    </font>
    <font>
      <name val="Arial"/>
      <sz val="10"/>
    </font>
    <font>
      <name val="Arial"/>
      <b val="1"/>
      <color rgb="000000FF"/>
      <sz val="11"/>
    </font>
    <font>
      <name val="Arial"/>
      <i val="1"/>
      <color rgb="006B7B82"/>
      <sz val="9"/>
    </font>
    <font>
      <name val="Arial"/>
      <b val="1"/>
      <color rgb="00FFFFFF"/>
      <sz val="10"/>
    </font>
    <font>
      <name val="Arial"/>
      <b val="1"/>
      <sz val="10"/>
    </font>
    <font>
      <name val="Arial"/>
      <b val="1"/>
      <color rgb="00000000"/>
      <sz val="12"/>
    </font>
    <font>
      <name val="Arial"/>
      <b val="1"/>
      <color rgb="002B5F1F"/>
      <sz val="14"/>
    </font>
    <font>
      <name val="Arial"/>
      <b val="1"/>
      <color rgb="000000FF"/>
      <sz val="10"/>
    </font>
  </fonts>
  <fills count="8">
    <fill>
      <patternFill/>
    </fill>
    <fill>
      <patternFill patternType="gray125"/>
    </fill>
    <fill>
      <patternFill patternType="solid">
        <fgColor rgb="00060D11"/>
      </patternFill>
    </fill>
    <fill>
      <patternFill patternType="solid">
        <fgColor rgb="00FFF7E0"/>
      </patternFill>
    </fill>
    <fill>
      <patternFill patternType="solid">
        <fgColor rgb="000D6E7A"/>
      </patternFill>
    </fill>
    <fill>
      <patternFill patternType="solid">
        <fgColor rgb="00EDD898"/>
      </patternFill>
    </fill>
    <fill>
      <patternFill patternType="solid">
        <fgColor rgb="00F8FAFB"/>
      </patternFill>
    </fill>
    <fill>
      <patternFill patternType="solid">
        <fgColor rgb="00E8F5E8"/>
      </patternFill>
    </fill>
  </fills>
  <borders count="2">
    <border>
      <left/>
      <right/>
      <top/>
      <bottom/>
      <diagonal/>
    </border>
    <border>
      <left style="thin">
        <color rgb="00C0C0C0"/>
      </left>
      <right style="thin">
        <color rgb="00C0C0C0"/>
      </right>
      <top style="thin">
        <color rgb="00C0C0C0"/>
      </top>
      <bottom style="thin">
        <color rgb="00C0C0C0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2" borderId="0" applyAlignment="1" pivotButton="0" quotePrefix="0" xfId="0">
      <alignment horizontal="center" vertical="center" wrapText="1"/>
    </xf>
    <xf numFmtId="0" fontId="3" fillId="0" borderId="0" pivotButton="0" quotePrefix="0" xfId="0"/>
    <xf numFmtId="0" fontId="4" fillId="0" borderId="1" applyAlignment="1" pivotButton="0" quotePrefix="0" xfId="0">
      <alignment horizontal="left" vertical="center" wrapText="1"/>
    </xf>
    <xf numFmtId="164" fontId="5" fillId="3" borderId="1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left" vertical="center" wrapText="1"/>
    </xf>
    <xf numFmtId="164" fontId="4" fillId="0" borderId="1" applyAlignment="1" pivotButton="0" quotePrefix="0" xfId="0">
      <alignment horizontal="right" vertical="center" wrapText="1"/>
    </xf>
    <xf numFmtId="10" fontId="5" fillId="3" borderId="1" applyAlignment="1" pivotButton="0" quotePrefix="0" xfId="0">
      <alignment horizontal="right" vertical="center" wrapText="1"/>
    </xf>
    <xf numFmtId="1" fontId="5" fillId="3" borderId="1" applyAlignment="1" pivotButton="0" quotePrefix="0" xfId="0">
      <alignment horizontal="right" vertical="center" wrapText="1"/>
    </xf>
    <xf numFmtId="0" fontId="5" fillId="3" borderId="1" applyAlignment="1" pivotButton="0" quotePrefix="0" xfId="0">
      <alignment horizontal="right" vertical="center" wrapText="1"/>
    </xf>
    <xf numFmtId="0" fontId="6" fillId="0" borderId="0" pivotButton="0" quotePrefix="0" xfId="0"/>
    <xf numFmtId="0" fontId="7" fillId="4" borderId="1" applyAlignment="1" pivotButton="0" quotePrefix="0" xfId="0">
      <alignment horizontal="center" vertical="center" wrapText="1"/>
    </xf>
    <xf numFmtId="1" fontId="8" fillId="5" borderId="1" applyAlignment="1" pivotButton="0" quotePrefix="0" xfId="0">
      <alignment horizontal="center" vertical="center" wrapText="1"/>
    </xf>
    <xf numFmtId="164" fontId="4" fillId="6" borderId="1" applyAlignment="1" pivotButton="0" quotePrefix="0" xfId="0">
      <alignment horizontal="right" vertical="center" wrapText="1"/>
    </xf>
    <xf numFmtId="0" fontId="3" fillId="5" borderId="0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 wrapText="1"/>
    </xf>
    <xf numFmtId="164" fontId="9" fillId="0" borderId="1" applyAlignment="1" pivotButton="0" quotePrefix="0" xfId="0">
      <alignment horizontal="right" vertical="center" wrapText="1"/>
    </xf>
    <xf numFmtId="164" fontId="10" fillId="7" borderId="1" applyAlignment="1" pivotButton="0" quotePrefix="0" xfId="0">
      <alignment horizontal="right" vertical="center" wrapText="1"/>
    </xf>
    <xf numFmtId="165" fontId="4" fillId="0" borderId="1" applyAlignment="1" pivotButton="0" quotePrefix="0" xfId="0">
      <alignment horizontal="right" vertical="center" wrapText="1"/>
    </xf>
    <xf numFmtId="0" fontId="8" fillId="5" borderId="1" applyAlignment="1" pivotButton="0" quotePrefix="0" xfId="0">
      <alignment horizontal="center" vertical="center" wrapText="1"/>
    </xf>
    <xf numFmtId="0" fontId="10" fillId="7" borderId="0" applyAlignment="1" pivotButton="0" quotePrefix="0" xfId="0">
      <alignment horizontal="center" vertical="center" wrapText="1"/>
    </xf>
    <xf numFmtId="0" fontId="8" fillId="5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top" wrapText="1"/>
    </xf>
    <xf numFmtId="0" fontId="3" fillId="0" borderId="0" applyAlignment="1" pivotButton="0" quotePrefix="0" xfId="0">
      <alignment horizontal="center" vertical="center" wrapText="1"/>
    </xf>
    <xf numFmtId="0" fontId="4" fillId="7" borderId="0" applyAlignment="1" pivotButton="0" quotePrefix="0" xfId="0">
      <alignment horizontal="left" vertical="top" wrapText="1"/>
    </xf>
    <xf numFmtId="0" fontId="8" fillId="0" borderId="1" applyAlignment="1" pivotButton="0" quotePrefix="0" xfId="0">
      <alignment horizontal="left" vertical="top" wrapText="1"/>
    </xf>
    <xf numFmtId="0" fontId="11" fillId="3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9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16" customWidth="1" min="2" max="2"/>
    <col width="48" customWidth="1" min="3" max="3"/>
    <col width="4" customWidth="1" min="4" max="4"/>
    <col width="4" customWidth="1" min="5" max="5"/>
  </cols>
  <sheetData>
    <row r="1" ht="40" customHeight="1">
      <c r="A1" s="1" t="inlineStr">
        <is>
          <t>SIMULATEUR SCI IR vs IS · IOF FORMATION</t>
        </is>
      </c>
    </row>
    <row r="2" ht="22" customHeight="1">
      <c r="A2" s="2" t="inlineStr">
        <is>
          <t>Comparez les deux régimes sur 20 ans · Mai 2026 · méthode FIRE 360</t>
        </is>
      </c>
    </row>
    <row r="4" ht="24" customHeight="1">
      <c r="A4" s="3" t="inlineStr">
        <is>
          <t>🏢 CARACTÉRISTIQUES DU BIEN</t>
        </is>
      </c>
    </row>
    <row r="5">
      <c r="A5" s="4" t="inlineStr">
        <is>
          <t>Prix d'achat HT (€)</t>
        </is>
      </c>
      <c r="B5" s="5" t="n">
        <v>250000</v>
      </c>
      <c r="C5" s="6" t="inlineStr">
        <is>
          <t>Hors frais d'acquisition</t>
        </is>
      </c>
    </row>
    <row r="6">
      <c r="A6" s="4" t="inlineStr">
        <is>
          <t>Frais de notaire (€)</t>
        </is>
      </c>
      <c r="B6" s="5" t="n">
        <v>18000</v>
      </c>
      <c r="C6" s="6" t="inlineStr">
        <is>
          <t>≈ 7-8 % de l'ancien, 2-3 % du neuf</t>
        </is>
      </c>
    </row>
    <row r="7">
      <c r="A7" s="4" t="inlineStr">
        <is>
          <t>Travaux initiaux (€)</t>
        </is>
      </c>
      <c r="B7" s="5" t="n">
        <v>15000</v>
      </c>
      <c r="C7" s="6" t="inlineStr">
        <is>
          <t>Mise aux normes, rénovation initiale</t>
        </is>
      </c>
    </row>
    <row r="8">
      <c r="A8" s="4" t="inlineStr">
        <is>
          <t>Valeur amortissable (€)</t>
        </is>
      </c>
      <c r="B8" s="7">
        <f>B5+B7</f>
        <v/>
      </c>
      <c r="C8" s="6" t="inlineStr">
        <is>
          <t>Hors terrain (estimé 15 %)</t>
        </is>
      </c>
    </row>
    <row r="9">
      <c r="A9" s="4" t="inlineStr">
        <is>
          <t>Apport personnel (€)</t>
        </is>
      </c>
      <c r="B9" s="5" t="n">
        <v>60000</v>
      </c>
      <c r="C9" s="6" t="inlineStr"/>
    </row>
    <row r="10">
      <c r="A10" s="4" t="inlineStr">
        <is>
          <t>Montant emprunté (€)</t>
        </is>
      </c>
      <c r="B10" s="7">
        <f>B5+B6+B7-B9</f>
        <v/>
      </c>
      <c r="C10" s="6" t="inlineStr"/>
    </row>
    <row r="11">
      <c r="A11" s="4" t="inlineStr">
        <is>
          <t>Taux d'emprunt (% annuel)</t>
        </is>
      </c>
      <c r="B11" s="8" t="n">
        <v>0.04</v>
      </c>
      <c r="C11" s="6" t="inlineStr">
        <is>
          <t>Format : 0.04 = 4 %</t>
        </is>
      </c>
    </row>
    <row r="12">
      <c r="A12" s="4" t="inlineStr">
        <is>
          <t>Durée d'emprunt (années)</t>
        </is>
      </c>
      <c r="B12" s="9" t="n">
        <v>20</v>
      </c>
      <c r="C12" s="6" t="inlineStr"/>
    </row>
    <row r="14" ht="24" customHeight="1">
      <c r="A14" s="3" t="inlineStr">
        <is>
          <t>📊 RENDEMENT LOCATIF</t>
        </is>
      </c>
    </row>
    <row r="15">
      <c r="A15" s="4" t="inlineStr">
        <is>
          <t>Loyer mensuel HC (€)</t>
        </is>
      </c>
      <c r="B15" s="5" t="n">
        <v>1100</v>
      </c>
      <c r="C15" s="6" t="inlineStr"/>
    </row>
    <row r="16">
      <c r="A16" s="4" t="inlineStr">
        <is>
          <t>Charges récupérables mensuelles (€)</t>
        </is>
      </c>
      <c r="B16" s="5" t="n">
        <v>0</v>
      </c>
      <c r="C16" s="6" t="inlineStr">
        <is>
          <t>À ajouter au loyer si non incluses</t>
        </is>
      </c>
    </row>
    <row r="17">
      <c r="A17" s="4" t="inlineStr">
        <is>
          <t>Loyer annuel total HC (€)</t>
        </is>
      </c>
      <c r="B17" s="7">
        <f>B15*12+B16*12</f>
        <v/>
      </c>
      <c r="C17" s="6" t="inlineStr"/>
    </row>
    <row r="18">
      <c r="A18" s="4" t="inlineStr">
        <is>
          <t>Vacance locative (% sur an)</t>
        </is>
      </c>
      <c r="B18" s="8" t="n">
        <v>0.04</v>
      </c>
      <c r="C18" s="6" t="inlineStr">
        <is>
          <t>1 mois/an ≈ 8.3 % ; 2 semaines/an ≈ 4 %</t>
        </is>
      </c>
    </row>
    <row r="19">
      <c r="A19" s="4" t="inlineStr">
        <is>
          <t>Charges non récupérables annuelles (€)</t>
        </is>
      </c>
      <c r="B19" s="5" t="n">
        <v>800</v>
      </c>
      <c r="C19" s="6" t="inlineStr">
        <is>
          <t>Syndic, gros entretien</t>
        </is>
      </c>
    </row>
    <row r="20">
      <c r="A20" s="4" t="inlineStr">
        <is>
          <t>Taxe foncière annuelle (€)</t>
        </is>
      </c>
      <c r="B20" s="5" t="n">
        <v>1200</v>
      </c>
      <c r="C20" s="6" t="inlineStr"/>
    </row>
    <row r="21">
      <c r="A21" s="4" t="inlineStr">
        <is>
          <t>Assurance PNO annuelle (€)</t>
        </is>
      </c>
      <c r="B21" s="5" t="n">
        <v>280</v>
      </c>
      <c r="C21" s="6" t="inlineStr">
        <is>
          <t>Propriétaire Non Occupant</t>
        </is>
      </c>
    </row>
    <row r="22">
      <c r="A22" s="4" t="inlineStr">
        <is>
          <t>Frais de gestion (% loyer)</t>
        </is>
      </c>
      <c r="B22" s="8" t="n">
        <v>0.07000000000000001</v>
      </c>
      <c r="C22" s="6" t="inlineStr">
        <is>
          <t>Si gestion déléguée, sinon 0</t>
        </is>
      </c>
    </row>
    <row r="23">
      <c r="A23" s="4" t="inlineStr">
        <is>
          <t>Revalorisation loyer (% / an)</t>
        </is>
      </c>
      <c r="B23" s="8" t="n">
        <v>0.015</v>
      </c>
      <c r="C23" s="6" t="inlineStr">
        <is>
          <t>Indice IRL moyen 2015-2025</t>
        </is>
      </c>
    </row>
    <row r="25" ht="24" customHeight="1">
      <c r="A25" s="3" t="inlineStr">
        <is>
          <t>🎯 FISCALITÉ DU DIRIGEANT</t>
        </is>
      </c>
    </row>
    <row r="26">
      <c r="A26" s="4" t="inlineStr">
        <is>
          <t>TMI à l'IR (%)</t>
        </is>
      </c>
      <c r="B26" s="8" t="n">
        <v>0.3</v>
      </c>
      <c r="C26" s="6" t="inlineStr">
        <is>
          <t>Tranche marginale d'imposition 2025 : 30 % entre 28 798 € et 82 341 €/part</t>
        </is>
      </c>
    </row>
    <row r="27">
      <c r="A27" s="4" t="inlineStr">
        <is>
          <t>Prélèvements sociaux SCI IR (%)</t>
        </is>
      </c>
      <c r="B27" s="8" t="n">
        <v>0.172</v>
      </c>
      <c r="C27" s="6" t="inlineStr">
        <is>
          <t>CSG/CRDS sur revenus fonciers</t>
        </is>
      </c>
    </row>
    <row r="28">
      <c r="A28" s="4" t="inlineStr">
        <is>
          <t>Taux IS (%)</t>
        </is>
      </c>
      <c r="B28" s="8" t="n">
        <v>0.15</v>
      </c>
      <c r="C28" s="6" t="inlineStr">
        <is>
          <t>15 % jusqu'à 42 500 € de bénéfice si CA &lt; 10 M€</t>
        </is>
      </c>
    </row>
    <row r="29">
      <c r="A29" s="4" t="inlineStr">
        <is>
          <t>Taux IS supérieur (%)</t>
        </is>
      </c>
      <c r="B29" s="8" t="n">
        <v>0.25</v>
      </c>
      <c r="C29" s="6" t="inlineStr">
        <is>
          <t>Au-delà de 42 500 €</t>
        </is>
      </c>
    </row>
    <row r="30">
      <c r="A30" s="4" t="inlineStr">
        <is>
          <t>Flat tax PFU (%)</t>
        </is>
      </c>
      <c r="B30" s="8" t="n">
        <v>0.3</v>
      </c>
      <c r="C30" s="6" t="inlineStr">
        <is>
          <t>Sur dividendes SCI IS distribués</t>
        </is>
      </c>
    </row>
    <row r="32" ht="24" customHeight="1">
      <c r="A32" s="3" t="inlineStr">
        <is>
          <t>🚪 STRATÉGIE DE SORTIE</t>
        </is>
      </c>
    </row>
    <row r="33">
      <c r="A33" s="4" t="inlineStr">
        <is>
          <t>Valeur de revente à 20 ans (€)</t>
        </is>
      </c>
      <c r="B33" s="7">
        <f>B5*1.025^20</f>
        <v/>
      </c>
      <c r="C33" s="6" t="inlineStr">
        <is>
          <t>Hypothèse : +2,5 %/an</t>
        </is>
      </c>
    </row>
    <row r="34">
      <c r="A34" s="4" t="inlineStr">
        <is>
          <t>Frais de vente (% du prix)</t>
        </is>
      </c>
      <c r="B34" s="8" t="n">
        <v>0.02</v>
      </c>
      <c r="C34" s="6" t="inlineStr">
        <is>
          <t>Diagnostic, agence éventuelle</t>
        </is>
      </c>
    </row>
    <row r="35">
      <c r="A35" s="4" t="inlineStr">
        <is>
          <t>Abattement durée détention IR (&gt;22 ans)</t>
        </is>
      </c>
      <c r="B35" s="10" t="n">
        <v>0.5</v>
      </c>
      <c r="C35" s="6" t="inlineStr">
        <is>
          <t>Cas info — non actif si &lt; 22 ans</t>
        </is>
      </c>
    </row>
    <row r="36">
      <c r="A36" s="4" t="inlineStr">
        <is>
          <t>Plus-value SCI IR abat. progressif (% à 20 ans)</t>
        </is>
      </c>
      <c r="B36" s="8" t="n">
        <v>0.3</v>
      </c>
      <c r="C36" s="6" t="inlineStr">
        <is>
          <t>6 %/an de la 6e à la 21e année</t>
        </is>
      </c>
    </row>
    <row r="39">
      <c r="A39" s="11" t="inlineStr">
        <is>
          <t>🔵 BLEU = cellule à compléter (input)   |   ⚫ NOIR = formule calculée automatiquement</t>
        </is>
      </c>
    </row>
  </sheetData>
  <mergeCells count="33">
    <mergeCell ref="C16:E16"/>
    <mergeCell ref="A39:E39"/>
    <mergeCell ref="C22:E22"/>
    <mergeCell ref="C9:E9"/>
    <mergeCell ref="A1:E1"/>
    <mergeCell ref="C21:E21"/>
    <mergeCell ref="C12:E12"/>
    <mergeCell ref="C36:E36"/>
    <mergeCell ref="C11:E11"/>
    <mergeCell ref="C27:E27"/>
    <mergeCell ref="C23:E23"/>
    <mergeCell ref="A25:E25"/>
    <mergeCell ref="C8:E8"/>
    <mergeCell ref="C17:E17"/>
    <mergeCell ref="C7:E7"/>
    <mergeCell ref="C28:E28"/>
    <mergeCell ref="C19:E19"/>
    <mergeCell ref="A2:E2"/>
    <mergeCell ref="C18:E18"/>
    <mergeCell ref="A32:E32"/>
    <mergeCell ref="A14:E14"/>
    <mergeCell ref="C30:E30"/>
    <mergeCell ref="C34:E34"/>
    <mergeCell ref="C15:E15"/>
    <mergeCell ref="C6:E6"/>
    <mergeCell ref="C33:E33"/>
    <mergeCell ref="A4:E4"/>
    <mergeCell ref="C5:E5"/>
    <mergeCell ref="C26:E26"/>
    <mergeCell ref="C29:E29"/>
    <mergeCell ref="C20:E20"/>
    <mergeCell ref="C35:E35"/>
    <mergeCell ref="C10:E1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5"/>
  <sheetViews>
    <sheetView showGridLines="0"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11" customWidth="1" min="3" max="3"/>
    <col width="14" customWidth="1" min="4" max="4"/>
    <col width="14" customWidth="1" min="5" max="5"/>
    <col width="14" customWidth="1" min="6" max="6"/>
    <col width="14" customWidth="1" min="7" max="7"/>
    <col width="11" customWidth="1" min="8" max="8"/>
    <col width="11" customWidth="1" min="9" max="9"/>
    <col width="12" customWidth="1" min="10" max="10"/>
    <col width="13" customWidth="1" min="11" max="11"/>
    <col width="13" customWidth="1" min="12" max="12"/>
    <col width="16" customWidth="1" min="13" max="13"/>
  </cols>
  <sheetData>
    <row r="1" ht="36" customHeight="1">
      <c r="A1" s="1" t="inlineStr">
        <is>
          <t>SCI À L'IR — Régime des revenus fonciers (semi-transparent fiscal)</t>
        </is>
      </c>
    </row>
    <row r="2" ht="22" customHeight="1">
      <c r="A2" s="2" t="inlineStr">
        <is>
          <t>Imposition à l'IR + 17,2 % de prélèvements sociaux sur le résultat foncier. PAS d'amortissement déductible.</t>
        </is>
      </c>
    </row>
    <row r="4" ht="32" customHeight="1">
      <c r="A4" s="12" t="inlineStr">
        <is>
          <t>Année</t>
        </is>
      </c>
      <c r="B4" s="12" t="inlineStr">
        <is>
          <t>Loyer brut</t>
        </is>
      </c>
      <c r="C4" s="12" t="inlineStr">
        <is>
          <t>Vacance</t>
        </is>
      </c>
      <c r="D4" s="12" t="inlineStr">
        <is>
          <t>Loyer net encaissé</t>
        </is>
      </c>
      <c r="E4" s="12" t="inlineStr">
        <is>
          <t>Charges déductibles</t>
        </is>
      </c>
      <c r="F4" s="12" t="inlineStr">
        <is>
          <t>Intérêts emprunt</t>
        </is>
      </c>
      <c r="G4" s="12" t="inlineStr">
        <is>
          <t>Résultat foncier</t>
        </is>
      </c>
      <c r="H4" s="12" t="inlineStr">
        <is>
          <t>IR (TMI)</t>
        </is>
      </c>
      <c r="I4" s="12" t="inlineStr">
        <is>
          <t>PS 17,2%</t>
        </is>
      </c>
      <c r="J4" s="12" t="inlineStr">
        <is>
          <t>Total impôts</t>
        </is>
      </c>
      <c r="K4" s="12" t="inlineStr">
        <is>
          <t>Mensualité</t>
        </is>
      </c>
      <c r="L4" s="12" t="inlineStr">
        <is>
          <t>Cash-flow net</t>
        </is>
      </c>
      <c r="M4" s="12" t="inlineStr">
        <is>
          <t>Capital remboursé cumulé</t>
        </is>
      </c>
    </row>
    <row r="5">
      <c r="A5" s="13" t="n">
        <v>1</v>
      </c>
      <c r="B5" s="7">
        <f>'1. Hypothèses'!$B$17*(1+'1. Hypothèses'!$B$23)^(1-1)</f>
        <v/>
      </c>
      <c r="C5" s="7">
        <f>B5*'1. Hypothèses'!$B$18</f>
        <v/>
      </c>
      <c r="D5" s="7">
        <f>B5-C5</f>
        <v/>
      </c>
      <c r="E5" s="7">
        <f>'1. Hypothèses'!$B$19+'1. Hypothèses'!$B$20+'1. Hypothèses'!$B$21+D5*'1. Hypothèses'!$B$22</f>
        <v/>
      </c>
      <c r="F5" s="7">
        <f>-CUMIPMT('1. Hypothèses'!$B$11/12,'1. Hypothèses'!$B$12*12,'1. Hypothèses'!$B$10,(1-1)*12+1,1*12,0)</f>
        <v/>
      </c>
      <c r="G5" s="7">
        <f>D5-E5-F5</f>
        <v/>
      </c>
      <c r="H5" s="7">
        <f>MAX(0,G5)*'1. Hypothèses'!$B$26</f>
        <v/>
      </c>
      <c r="I5" s="7">
        <f>MAX(0,G5)*'1. Hypothèses'!$B$27</f>
        <v/>
      </c>
      <c r="J5" s="7">
        <f>H5+I5</f>
        <v/>
      </c>
      <c r="K5" s="7">
        <f>PMT('1. Hypothèses'!$B$11/12,'1. Hypothèses'!$B$12*12,-'1. Hypothèses'!$B$10)*12</f>
        <v/>
      </c>
      <c r="L5" s="7">
        <f>D5-E5-K5-J5</f>
        <v/>
      </c>
      <c r="M5" s="7">
        <f>-CUMPRINC('1. Hypothèses'!$B$11/12,'1. Hypothèses'!$B$12*12,'1. Hypothèses'!$B$10,1,1*12,0)</f>
        <v/>
      </c>
    </row>
    <row r="6">
      <c r="A6" s="13" t="n">
        <v>2</v>
      </c>
      <c r="B6" s="14">
        <f>'1. Hypothèses'!$B$17*(1+'1. Hypothèses'!$B$23)^(2-1)</f>
        <v/>
      </c>
      <c r="C6" s="14">
        <f>B6*'1. Hypothèses'!$B$18</f>
        <v/>
      </c>
      <c r="D6" s="14">
        <f>B6-C6</f>
        <v/>
      </c>
      <c r="E6" s="14">
        <f>'1. Hypothèses'!$B$19+'1. Hypothèses'!$B$20+'1. Hypothèses'!$B$21+D6*'1. Hypothèses'!$B$22</f>
        <v/>
      </c>
      <c r="F6" s="14">
        <f>-CUMIPMT('1. Hypothèses'!$B$11/12,'1. Hypothèses'!$B$12*12,'1. Hypothèses'!$B$10,(2-1)*12+1,2*12,0)</f>
        <v/>
      </c>
      <c r="G6" s="14">
        <f>D6-E6-F6</f>
        <v/>
      </c>
      <c r="H6" s="14">
        <f>MAX(0,G6)*'1. Hypothèses'!$B$26</f>
        <v/>
      </c>
      <c r="I6" s="14">
        <f>MAX(0,G6)*'1. Hypothèses'!$B$27</f>
        <v/>
      </c>
      <c r="J6" s="14">
        <f>H6+I6</f>
        <v/>
      </c>
      <c r="K6" s="14">
        <f>PMT('1. Hypothèses'!$B$11/12,'1. Hypothèses'!$B$12*12,-'1. Hypothèses'!$B$10)*12</f>
        <v/>
      </c>
      <c r="L6" s="14">
        <f>D6-E6-K6-J6</f>
        <v/>
      </c>
      <c r="M6" s="14">
        <f>-CUMPRINC('1. Hypothèses'!$B$11/12,'1. Hypothèses'!$B$12*12,'1. Hypothèses'!$B$10,1,2*12,0)</f>
        <v/>
      </c>
    </row>
    <row r="7">
      <c r="A7" s="13" t="n">
        <v>3</v>
      </c>
      <c r="B7" s="7">
        <f>'1. Hypothèses'!$B$17*(1+'1. Hypothèses'!$B$23)^(3-1)</f>
        <v/>
      </c>
      <c r="C7" s="7">
        <f>B7*'1. Hypothèses'!$B$18</f>
        <v/>
      </c>
      <c r="D7" s="7">
        <f>B7-C7</f>
        <v/>
      </c>
      <c r="E7" s="7">
        <f>'1. Hypothèses'!$B$19+'1. Hypothèses'!$B$20+'1. Hypothèses'!$B$21+D7*'1. Hypothèses'!$B$22</f>
        <v/>
      </c>
      <c r="F7" s="7">
        <f>-CUMIPMT('1. Hypothèses'!$B$11/12,'1. Hypothèses'!$B$12*12,'1. Hypothèses'!$B$10,(3-1)*12+1,3*12,0)</f>
        <v/>
      </c>
      <c r="G7" s="7">
        <f>D7-E7-F7</f>
        <v/>
      </c>
      <c r="H7" s="7">
        <f>MAX(0,G7)*'1. Hypothèses'!$B$26</f>
        <v/>
      </c>
      <c r="I7" s="7">
        <f>MAX(0,G7)*'1. Hypothèses'!$B$27</f>
        <v/>
      </c>
      <c r="J7" s="7">
        <f>H7+I7</f>
        <v/>
      </c>
      <c r="K7" s="7">
        <f>PMT('1. Hypothèses'!$B$11/12,'1. Hypothèses'!$B$12*12,-'1. Hypothèses'!$B$10)*12</f>
        <v/>
      </c>
      <c r="L7" s="7">
        <f>D7-E7-K7-J7</f>
        <v/>
      </c>
      <c r="M7" s="7">
        <f>-CUMPRINC('1. Hypothèses'!$B$11/12,'1. Hypothèses'!$B$12*12,'1. Hypothèses'!$B$10,1,3*12,0)</f>
        <v/>
      </c>
    </row>
    <row r="8">
      <c r="A8" s="13" t="n">
        <v>4</v>
      </c>
      <c r="B8" s="14">
        <f>'1. Hypothèses'!$B$17*(1+'1. Hypothèses'!$B$23)^(4-1)</f>
        <v/>
      </c>
      <c r="C8" s="14">
        <f>B8*'1. Hypothèses'!$B$18</f>
        <v/>
      </c>
      <c r="D8" s="14">
        <f>B8-C8</f>
        <v/>
      </c>
      <c r="E8" s="14">
        <f>'1. Hypothèses'!$B$19+'1. Hypothèses'!$B$20+'1. Hypothèses'!$B$21+D8*'1. Hypothèses'!$B$22</f>
        <v/>
      </c>
      <c r="F8" s="14">
        <f>-CUMIPMT('1. Hypothèses'!$B$11/12,'1. Hypothèses'!$B$12*12,'1. Hypothèses'!$B$10,(4-1)*12+1,4*12,0)</f>
        <v/>
      </c>
      <c r="G8" s="14">
        <f>D8-E8-F8</f>
        <v/>
      </c>
      <c r="H8" s="14">
        <f>MAX(0,G8)*'1. Hypothèses'!$B$26</f>
        <v/>
      </c>
      <c r="I8" s="14">
        <f>MAX(0,G8)*'1. Hypothèses'!$B$27</f>
        <v/>
      </c>
      <c r="J8" s="14">
        <f>H8+I8</f>
        <v/>
      </c>
      <c r="K8" s="14">
        <f>PMT('1. Hypothèses'!$B$11/12,'1. Hypothèses'!$B$12*12,-'1. Hypothèses'!$B$10)*12</f>
        <v/>
      </c>
      <c r="L8" s="14">
        <f>D8-E8-K8-J8</f>
        <v/>
      </c>
      <c r="M8" s="14">
        <f>-CUMPRINC('1. Hypothèses'!$B$11/12,'1. Hypothèses'!$B$12*12,'1. Hypothèses'!$B$10,1,4*12,0)</f>
        <v/>
      </c>
    </row>
    <row r="9">
      <c r="A9" s="13" t="n">
        <v>5</v>
      </c>
      <c r="B9" s="7">
        <f>'1. Hypothèses'!$B$17*(1+'1. Hypothèses'!$B$23)^(5-1)</f>
        <v/>
      </c>
      <c r="C9" s="7">
        <f>B9*'1. Hypothèses'!$B$18</f>
        <v/>
      </c>
      <c r="D9" s="7">
        <f>B9-C9</f>
        <v/>
      </c>
      <c r="E9" s="7">
        <f>'1. Hypothèses'!$B$19+'1. Hypothèses'!$B$20+'1. Hypothèses'!$B$21+D9*'1. Hypothèses'!$B$22</f>
        <v/>
      </c>
      <c r="F9" s="7">
        <f>-CUMIPMT('1. Hypothèses'!$B$11/12,'1. Hypothèses'!$B$12*12,'1. Hypothèses'!$B$10,(5-1)*12+1,5*12,0)</f>
        <v/>
      </c>
      <c r="G9" s="7">
        <f>D9-E9-F9</f>
        <v/>
      </c>
      <c r="H9" s="7">
        <f>MAX(0,G9)*'1. Hypothèses'!$B$26</f>
        <v/>
      </c>
      <c r="I9" s="7">
        <f>MAX(0,G9)*'1. Hypothèses'!$B$27</f>
        <v/>
      </c>
      <c r="J9" s="7">
        <f>H9+I9</f>
        <v/>
      </c>
      <c r="K9" s="7">
        <f>PMT('1. Hypothèses'!$B$11/12,'1. Hypothèses'!$B$12*12,-'1. Hypothèses'!$B$10)*12</f>
        <v/>
      </c>
      <c r="L9" s="7">
        <f>D9-E9-K9-J9</f>
        <v/>
      </c>
      <c r="M9" s="7">
        <f>-CUMPRINC('1. Hypothèses'!$B$11/12,'1. Hypothèses'!$B$12*12,'1. Hypothèses'!$B$10,1,5*12,0)</f>
        <v/>
      </c>
    </row>
    <row r="10">
      <c r="A10" s="13" t="n">
        <v>6</v>
      </c>
      <c r="B10" s="14">
        <f>'1. Hypothèses'!$B$17*(1+'1. Hypothèses'!$B$23)^(6-1)</f>
        <v/>
      </c>
      <c r="C10" s="14">
        <f>B10*'1. Hypothèses'!$B$18</f>
        <v/>
      </c>
      <c r="D10" s="14">
        <f>B10-C10</f>
        <v/>
      </c>
      <c r="E10" s="14">
        <f>'1. Hypothèses'!$B$19+'1. Hypothèses'!$B$20+'1. Hypothèses'!$B$21+D10*'1. Hypothèses'!$B$22</f>
        <v/>
      </c>
      <c r="F10" s="14">
        <f>-CUMIPMT('1. Hypothèses'!$B$11/12,'1. Hypothèses'!$B$12*12,'1. Hypothèses'!$B$10,(6-1)*12+1,6*12,0)</f>
        <v/>
      </c>
      <c r="G10" s="14">
        <f>D10-E10-F10</f>
        <v/>
      </c>
      <c r="H10" s="14">
        <f>MAX(0,G10)*'1. Hypothèses'!$B$26</f>
        <v/>
      </c>
      <c r="I10" s="14">
        <f>MAX(0,G10)*'1. Hypothèses'!$B$27</f>
        <v/>
      </c>
      <c r="J10" s="14">
        <f>H10+I10</f>
        <v/>
      </c>
      <c r="K10" s="14">
        <f>PMT('1. Hypothèses'!$B$11/12,'1. Hypothèses'!$B$12*12,-'1. Hypothèses'!$B$10)*12</f>
        <v/>
      </c>
      <c r="L10" s="14">
        <f>D10-E10-K10-J10</f>
        <v/>
      </c>
      <c r="M10" s="14">
        <f>-CUMPRINC('1. Hypothèses'!$B$11/12,'1. Hypothèses'!$B$12*12,'1. Hypothèses'!$B$10,1,6*12,0)</f>
        <v/>
      </c>
    </row>
    <row r="11">
      <c r="A11" s="13" t="n">
        <v>7</v>
      </c>
      <c r="B11" s="7">
        <f>'1. Hypothèses'!$B$17*(1+'1. Hypothèses'!$B$23)^(7-1)</f>
        <v/>
      </c>
      <c r="C11" s="7">
        <f>B11*'1. Hypothèses'!$B$18</f>
        <v/>
      </c>
      <c r="D11" s="7">
        <f>B11-C11</f>
        <v/>
      </c>
      <c r="E11" s="7">
        <f>'1. Hypothèses'!$B$19+'1. Hypothèses'!$B$20+'1. Hypothèses'!$B$21+D11*'1. Hypothèses'!$B$22</f>
        <v/>
      </c>
      <c r="F11" s="7">
        <f>-CUMIPMT('1. Hypothèses'!$B$11/12,'1. Hypothèses'!$B$12*12,'1. Hypothèses'!$B$10,(7-1)*12+1,7*12,0)</f>
        <v/>
      </c>
      <c r="G11" s="7">
        <f>D11-E11-F11</f>
        <v/>
      </c>
      <c r="H11" s="7">
        <f>MAX(0,G11)*'1. Hypothèses'!$B$26</f>
        <v/>
      </c>
      <c r="I11" s="7">
        <f>MAX(0,G11)*'1. Hypothèses'!$B$27</f>
        <v/>
      </c>
      <c r="J11" s="7">
        <f>H11+I11</f>
        <v/>
      </c>
      <c r="K11" s="7">
        <f>PMT('1. Hypothèses'!$B$11/12,'1. Hypothèses'!$B$12*12,-'1. Hypothèses'!$B$10)*12</f>
        <v/>
      </c>
      <c r="L11" s="7">
        <f>D11-E11-K11-J11</f>
        <v/>
      </c>
      <c r="M11" s="7">
        <f>-CUMPRINC('1. Hypothèses'!$B$11/12,'1. Hypothèses'!$B$12*12,'1. Hypothèses'!$B$10,1,7*12,0)</f>
        <v/>
      </c>
    </row>
    <row r="12">
      <c r="A12" s="13" t="n">
        <v>8</v>
      </c>
      <c r="B12" s="14">
        <f>'1. Hypothèses'!$B$17*(1+'1. Hypothèses'!$B$23)^(8-1)</f>
        <v/>
      </c>
      <c r="C12" s="14">
        <f>B12*'1. Hypothèses'!$B$18</f>
        <v/>
      </c>
      <c r="D12" s="14">
        <f>B12-C12</f>
        <v/>
      </c>
      <c r="E12" s="14">
        <f>'1. Hypothèses'!$B$19+'1. Hypothèses'!$B$20+'1. Hypothèses'!$B$21+D12*'1. Hypothèses'!$B$22</f>
        <v/>
      </c>
      <c r="F12" s="14">
        <f>-CUMIPMT('1. Hypothèses'!$B$11/12,'1. Hypothèses'!$B$12*12,'1. Hypothèses'!$B$10,(8-1)*12+1,8*12,0)</f>
        <v/>
      </c>
      <c r="G12" s="14">
        <f>D12-E12-F12</f>
        <v/>
      </c>
      <c r="H12" s="14">
        <f>MAX(0,G12)*'1. Hypothèses'!$B$26</f>
        <v/>
      </c>
      <c r="I12" s="14">
        <f>MAX(0,G12)*'1. Hypothèses'!$B$27</f>
        <v/>
      </c>
      <c r="J12" s="14">
        <f>H12+I12</f>
        <v/>
      </c>
      <c r="K12" s="14">
        <f>PMT('1. Hypothèses'!$B$11/12,'1. Hypothèses'!$B$12*12,-'1. Hypothèses'!$B$10)*12</f>
        <v/>
      </c>
      <c r="L12" s="14">
        <f>D12-E12-K12-J12</f>
        <v/>
      </c>
      <c r="M12" s="14">
        <f>-CUMPRINC('1. Hypothèses'!$B$11/12,'1. Hypothèses'!$B$12*12,'1. Hypothèses'!$B$10,1,8*12,0)</f>
        <v/>
      </c>
    </row>
    <row r="13">
      <c r="A13" s="13" t="n">
        <v>9</v>
      </c>
      <c r="B13" s="7">
        <f>'1. Hypothèses'!$B$17*(1+'1. Hypothèses'!$B$23)^(9-1)</f>
        <v/>
      </c>
      <c r="C13" s="7">
        <f>B13*'1. Hypothèses'!$B$18</f>
        <v/>
      </c>
      <c r="D13" s="7">
        <f>B13-C13</f>
        <v/>
      </c>
      <c r="E13" s="7">
        <f>'1. Hypothèses'!$B$19+'1. Hypothèses'!$B$20+'1. Hypothèses'!$B$21+D13*'1. Hypothèses'!$B$22</f>
        <v/>
      </c>
      <c r="F13" s="7">
        <f>-CUMIPMT('1. Hypothèses'!$B$11/12,'1. Hypothèses'!$B$12*12,'1. Hypothèses'!$B$10,(9-1)*12+1,9*12,0)</f>
        <v/>
      </c>
      <c r="G13" s="7">
        <f>D13-E13-F13</f>
        <v/>
      </c>
      <c r="H13" s="7">
        <f>MAX(0,G13)*'1. Hypothèses'!$B$26</f>
        <v/>
      </c>
      <c r="I13" s="7">
        <f>MAX(0,G13)*'1. Hypothèses'!$B$27</f>
        <v/>
      </c>
      <c r="J13" s="7">
        <f>H13+I13</f>
        <v/>
      </c>
      <c r="K13" s="7">
        <f>PMT('1. Hypothèses'!$B$11/12,'1. Hypothèses'!$B$12*12,-'1. Hypothèses'!$B$10)*12</f>
        <v/>
      </c>
      <c r="L13" s="7">
        <f>D13-E13-K13-J13</f>
        <v/>
      </c>
      <c r="M13" s="7">
        <f>-CUMPRINC('1. Hypothèses'!$B$11/12,'1. Hypothèses'!$B$12*12,'1. Hypothèses'!$B$10,1,9*12,0)</f>
        <v/>
      </c>
    </row>
    <row r="14">
      <c r="A14" s="13" t="n">
        <v>10</v>
      </c>
      <c r="B14" s="14">
        <f>'1. Hypothèses'!$B$17*(1+'1. Hypothèses'!$B$23)^(10-1)</f>
        <v/>
      </c>
      <c r="C14" s="14">
        <f>B14*'1. Hypothèses'!$B$18</f>
        <v/>
      </c>
      <c r="D14" s="14">
        <f>B14-C14</f>
        <v/>
      </c>
      <c r="E14" s="14">
        <f>'1. Hypothèses'!$B$19+'1. Hypothèses'!$B$20+'1. Hypothèses'!$B$21+D14*'1. Hypothèses'!$B$22</f>
        <v/>
      </c>
      <c r="F14" s="14">
        <f>-CUMIPMT('1. Hypothèses'!$B$11/12,'1. Hypothèses'!$B$12*12,'1. Hypothèses'!$B$10,(10-1)*12+1,10*12,0)</f>
        <v/>
      </c>
      <c r="G14" s="14">
        <f>D14-E14-F14</f>
        <v/>
      </c>
      <c r="H14" s="14">
        <f>MAX(0,G14)*'1. Hypothèses'!$B$26</f>
        <v/>
      </c>
      <c r="I14" s="14">
        <f>MAX(0,G14)*'1. Hypothèses'!$B$27</f>
        <v/>
      </c>
      <c r="J14" s="14">
        <f>H14+I14</f>
        <v/>
      </c>
      <c r="K14" s="14">
        <f>PMT('1. Hypothèses'!$B$11/12,'1. Hypothèses'!$B$12*12,-'1. Hypothèses'!$B$10)*12</f>
        <v/>
      </c>
      <c r="L14" s="14">
        <f>D14-E14-K14-J14</f>
        <v/>
      </c>
      <c r="M14" s="14">
        <f>-CUMPRINC('1. Hypothèses'!$B$11/12,'1. Hypothèses'!$B$12*12,'1. Hypothèses'!$B$10,1,10*12,0)</f>
        <v/>
      </c>
    </row>
    <row r="15">
      <c r="A15" s="13" t="n">
        <v>11</v>
      </c>
      <c r="B15" s="7">
        <f>'1. Hypothèses'!$B$17*(1+'1. Hypothèses'!$B$23)^(11-1)</f>
        <v/>
      </c>
      <c r="C15" s="7">
        <f>B15*'1. Hypothèses'!$B$18</f>
        <v/>
      </c>
      <c r="D15" s="7">
        <f>B15-C15</f>
        <v/>
      </c>
      <c r="E15" s="7">
        <f>'1. Hypothèses'!$B$19+'1. Hypothèses'!$B$20+'1. Hypothèses'!$B$21+D15*'1. Hypothèses'!$B$22</f>
        <v/>
      </c>
      <c r="F15" s="7">
        <f>-CUMIPMT('1. Hypothèses'!$B$11/12,'1. Hypothèses'!$B$12*12,'1. Hypothèses'!$B$10,(11-1)*12+1,11*12,0)</f>
        <v/>
      </c>
      <c r="G15" s="7">
        <f>D15-E15-F15</f>
        <v/>
      </c>
      <c r="H15" s="7">
        <f>MAX(0,G15)*'1. Hypothèses'!$B$26</f>
        <v/>
      </c>
      <c r="I15" s="7">
        <f>MAX(0,G15)*'1. Hypothèses'!$B$27</f>
        <v/>
      </c>
      <c r="J15" s="7">
        <f>H15+I15</f>
        <v/>
      </c>
      <c r="K15" s="7">
        <f>PMT('1. Hypothèses'!$B$11/12,'1. Hypothèses'!$B$12*12,-'1. Hypothèses'!$B$10)*12</f>
        <v/>
      </c>
      <c r="L15" s="7">
        <f>D15-E15-K15-J15</f>
        <v/>
      </c>
      <c r="M15" s="7">
        <f>-CUMPRINC('1. Hypothèses'!$B$11/12,'1. Hypothèses'!$B$12*12,'1. Hypothèses'!$B$10,1,11*12,0)</f>
        <v/>
      </c>
    </row>
    <row r="16">
      <c r="A16" s="13" t="n">
        <v>12</v>
      </c>
      <c r="B16" s="14">
        <f>'1. Hypothèses'!$B$17*(1+'1. Hypothèses'!$B$23)^(12-1)</f>
        <v/>
      </c>
      <c r="C16" s="14">
        <f>B16*'1. Hypothèses'!$B$18</f>
        <v/>
      </c>
      <c r="D16" s="14">
        <f>B16-C16</f>
        <v/>
      </c>
      <c r="E16" s="14">
        <f>'1. Hypothèses'!$B$19+'1. Hypothèses'!$B$20+'1. Hypothèses'!$B$21+D16*'1. Hypothèses'!$B$22</f>
        <v/>
      </c>
      <c r="F16" s="14">
        <f>-CUMIPMT('1. Hypothèses'!$B$11/12,'1. Hypothèses'!$B$12*12,'1. Hypothèses'!$B$10,(12-1)*12+1,12*12,0)</f>
        <v/>
      </c>
      <c r="G16" s="14">
        <f>D16-E16-F16</f>
        <v/>
      </c>
      <c r="H16" s="14">
        <f>MAX(0,G16)*'1. Hypothèses'!$B$26</f>
        <v/>
      </c>
      <c r="I16" s="14">
        <f>MAX(0,G16)*'1. Hypothèses'!$B$27</f>
        <v/>
      </c>
      <c r="J16" s="14">
        <f>H16+I16</f>
        <v/>
      </c>
      <c r="K16" s="14">
        <f>PMT('1. Hypothèses'!$B$11/12,'1. Hypothèses'!$B$12*12,-'1. Hypothèses'!$B$10)*12</f>
        <v/>
      </c>
      <c r="L16" s="14">
        <f>D16-E16-K16-J16</f>
        <v/>
      </c>
      <c r="M16" s="14">
        <f>-CUMPRINC('1. Hypothèses'!$B$11/12,'1. Hypothèses'!$B$12*12,'1. Hypothèses'!$B$10,1,12*12,0)</f>
        <v/>
      </c>
    </row>
    <row r="17">
      <c r="A17" s="13" t="n">
        <v>13</v>
      </c>
      <c r="B17" s="7">
        <f>'1. Hypothèses'!$B$17*(1+'1. Hypothèses'!$B$23)^(13-1)</f>
        <v/>
      </c>
      <c r="C17" s="7">
        <f>B17*'1. Hypothèses'!$B$18</f>
        <v/>
      </c>
      <c r="D17" s="7">
        <f>B17-C17</f>
        <v/>
      </c>
      <c r="E17" s="7">
        <f>'1. Hypothèses'!$B$19+'1. Hypothèses'!$B$20+'1. Hypothèses'!$B$21+D17*'1. Hypothèses'!$B$22</f>
        <v/>
      </c>
      <c r="F17" s="7">
        <f>-CUMIPMT('1. Hypothèses'!$B$11/12,'1. Hypothèses'!$B$12*12,'1. Hypothèses'!$B$10,(13-1)*12+1,13*12,0)</f>
        <v/>
      </c>
      <c r="G17" s="7">
        <f>D17-E17-F17</f>
        <v/>
      </c>
      <c r="H17" s="7">
        <f>MAX(0,G17)*'1. Hypothèses'!$B$26</f>
        <v/>
      </c>
      <c r="I17" s="7">
        <f>MAX(0,G17)*'1. Hypothèses'!$B$27</f>
        <v/>
      </c>
      <c r="J17" s="7">
        <f>H17+I17</f>
        <v/>
      </c>
      <c r="K17" s="7">
        <f>PMT('1. Hypothèses'!$B$11/12,'1. Hypothèses'!$B$12*12,-'1. Hypothèses'!$B$10)*12</f>
        <v/>
      </c>
      <c r="L17" s="7">
        <f>D17-E17-K17-J17</f>
        <v/>
      </c>
      <c r="M17" s="7">
        <f>-CUMPRINC('1. Hypothèses'!$B$11/12,'1. Hypothèses'!$B$12*12,'1. Hypothèses'!$B$10,1,13*12,0)</f>
        <v/>
      </c>
    </row>
    <row r="18">
      <c r="A18" s="13" t="n">
        <v>14</v>
      </c>
      <c r="B18" s="14">
        <f>'1. Hypothèses'!$B$17*(1+'1. Hypothèses'!$B$23)^(14-1)</f>
        <v/>
      </c>
      <c r="C18" s="14">
        <f>B18*'1. Hypothèses'!$B$18</f>
        <v/>
      </c>
      <c r="D18" s="14">
        <f>B18-C18</f>
        <v/>
      </c>
      <c r="E18" s="14">
        <f>'1. Hypothèses'!$B$19+'1. Hypothèses'!$B$20+'1. Hypothèses'!$B$21+D18*'1. Hypothèses'!$B$22</f>
        <v/>
      </c>
      <c r="F18" s="14">
        <f>-CUMIPMT('1. Hypothèses'!$B$11/12,'1. Hypothèses'!$B$12*12,'1. Hypothèses'!$B$10,(14-1)*12+1,14*12,0)</f>
        <v/>
      </c>
      <c r="G18" s="14">
        <f>D18-E18-F18</f>
        <v/>
      </c>
      <c r="H18" s="14">
        <f>MAX(0,G18)*'1. Hypothèses'!$B$26</f>
        <v/>
      </c>
      <c r="I18" s="14">
        <f>MAX(0,G18)*'1. Hypothèses'!$B$27</f>
        <v/>
      </c>
      <c r="J18" s="14">
        <f>H18+I18</f>
        <v/>
      </c>
      <c r="K18" s="14">
        <f>PMT('1. Hypothèses'!$B$11/12,'1. Hypothèses'!$B$12*12,-'1. Hypothèses'!$B$10)*12</f>
        <v/>
      </c>
      <c r="L18" s="14">
        <f>D18-E18-K18-J18</f>
        <v/>
      </c>
      <c r="M18" s="14">
        <f>-CUMPRINC('1. Hypothèses'!$B$11/12,'1. Hypothèses'!$B$12*12,'1. Hypothèses'!$B$10,1,14*12,0)</f>
        <v/>
      </c>
    </row>
    <row r="19">
      <c r="A19" s="13" t="n">
        <v>15</v>
      </c>
      <c r="B19" s="7">
        <f>'1. Hypothèses'!$B$17*(1+'1. Hypothèses'!$B$23)^(15-1)</f>
        <v/>
      </c>
      <c r="C19" s="7">
        <f>B19*'1. Hypothèses'!$B$18</f>
        <v/>
      </c>
      <c r="D19" s="7">
        <f>B19-C19</f>
        <v/>
      </c>
      <c r="E19" s="7">
        <f>'1. Hypothèses'!$B$19+'1. Hypothèses'!$B$20+'1. Hypothèses'!$B$21+D19*'1. Hypothèses'!$B$22</f>
        <v/>
      </c>
      <c r="F19" s="7">
        <f>-CUMIPMT('1. Hypothèses'!$B$11/12,'1. Hypothèses'!$B$12*12,'1. Hypothèses'!$B$10,(15-1)*12+1,15*12,0)</f>
        <v/>
      </c>
      <c r="G19" s="7">
        <f>D19-E19-F19</f>
        <v/>
      </c>
      <c r="H19" s="7">
        <f>MAX(0,G19)*'1. Hypothèses'!$B$26</f>
        <v/>
      </c>
      <c r="I19" s="7">
        <f>MAX(0,G19)*'1. Hypothèses'!$B$27</f>
        <v/>
      </c>
      <c r="J19" s="7">
        <f>H19+I19</f>
        <v/>
      </c>
      <c r="K19" s="7">
        <f>PMT('1. Hypothèses'!$B$11/12,'1. Hypothèses'!$B$12*12,-'1. Hypothèses'!$B$10)*12</f>
        <v/>
      </c>
      <c r="L19" s="7">
        <f>D19-E19-K19-J19</f>
        <v/>
      </c>
      <c r="M19" s="7">
        <f>-CUMPRINC('1. Hypothèses'!$B$11/12,'1. Hypothèses'!$B$12*12,'1. Hypothèses'!$B$10,1,15*12,0)</f>
        <v/>
      </c>
    </row>
    <row r="20">
      <c r="A20" s="13" t="n">
        <v>16</v>
      </c>
      <c r="B20" s="14">
        <f>'1. Hypothèses'!$B$17*(1+'1. Hypothèses'!$B$23)^(16-1)</f>
        <v/>
      </c>
      <c r="C20" s="14">
        <f>B20*'1. Hypothèses'!$B$18</f>
        <v/>
      </c>
      <c r="D20" s="14">
        <f>B20-C20</f>
        <v/>
      </c>
      <c r="E20" s="14">
        <f>'1. Hypothèses'!$B$19+'1. Hypothèses'!$B$20+'1. Hypothèses'!$B$21+D20*'1. Hypothèses'!$B$22</f>
        <v/>
      </c>
      <c r="F20" s="14">
        <f>-CUMIPMT('1. Hypothèses'!$B$11/12,'1. Hypothèses'!$B$12*12,'1. Hypothèses'!$B$10,(16-1)*12+1,16*12,0)</f>
        <v/>
      </c>
      <c r="G20" s="14">
        <f>D20-E20-F20</f>
        <v/>
      </c>
      <c r="H20" s="14">
        <f>MAX(0,G20)*'1. Hypothèses'!$B$26</f>
        <v/>
      </c>
      <c r="I20" s="14">
        <f>MAX(0,G20)*'1. Hypothèses'!$B$27</f>
        <v/>
      </c>
      <c r="J20" s="14">
        <f>H20+I20</f>
        <v/>
      </c>
      <c r="K20" s="14">
        <f>PMT('1. Hypothèses'!$B$11/12,'1. Hypothèses'!$B$12*12,-'1. Hypothèses'!$B$10)*12</f>
        <v/>
      </c>
      <c r="L20" s="14">
        <f>D20-E20-K20-J20</f>
        <v/>
      </c>
      <c r="M20" s="14">
        <f>-CUMPRINC('1. Hypothèses'!$B$11/12,'1. Hypothèses'!$B$12*12,'1. Hypothèses'!$B$10,1,16*12,0)</f>
        <v/>
      </c>
    </row>
    <row r="21">
      <c r="A21" s="13" t="n">
        <v>17</v>
      </c>
      <c r="B21" s="7">
        <f>'1. Hypothèses'!$B$17*(1+'1. Hypothèses'!$B$23)^(17-1)</f>
        <v/>
      </c>
      <c r="C21" s="7">
        <f>B21*'1. Hypothèses'!$B$18</f>
        <v/>
      </c>
      <c r="D21" s="7">
        <f>B21-C21</f>
        <v/>
      </c>
      <c r="E21" s="7">
        <f>'1. Hypothèses'!$B$19+'1. Hypothèses'!$B$20+'1. Hypothèses'!$B$21+D21*'1. Hypothèses'!$B$22</f>
        <v/>
      </c>
      <c r="F21" s="7">
        <f>-CUMIPMT('1. Hypothèses'!$B$11/12,'1. Hypothèses'!$B$12*12,'1. Hypothèses'!$B$10,(17-1)*12+1,17*12,0)</f>
        <v/>
      </c>
      <c r="G21" s="7">
        <f>D21-E21-F21</f>
        <v/>
      </c>
      <c r="H21" s="7">
        <f>MAX(0,G21)*'1. Hypothèses'!$B$26</f>
        <v/>
      </c>
      <c r="I21" s="7">
        <f>MAX(0,G21)*'1. Hypothèses'!$B$27</f>
        <v/>
      </c>
      <c r="J21" s="7">
        <f>H21+I21</f>
        <v/>
      </c>
      <c r="K21" s="7">
        <f>PMT('1. Hypothèses'!$B$11/12,'1. Hypothèses'!$B$12*12,-'1. Hypothèses'!$B$10)*12</f>
        <v/>
      </c>
      <c r="L21" s="7">
        <f>D21-E21-K21-J21</f>
        <v/>
      </c>
      <c r="M21" s="7">
        <f>-CUMPRINC('1. Hypothèses'!$B$11/12,'1. Hypothèses'!$B$12*12,'1. Hypothèses'!$B$10,1,17*12,0)</f>
        <v/>
      </c>
    </row>
    <row r="22">
      <c r="A22" s="13" t="n">
        <v>18</v>
      </c>
      <c r="B22" s="14">
        <f>'1. Hypothèses'!$B$17*(1+'1. Hypothèses'!$B$23)^(18-1)</f>
        <v/>
      </c>
      <c r="C22" s="14">
        <f>B22*'1. Hypothèses'!$B$18</f>
        <v/>
      </c>
      <c r="D22" s="14">
        <f>B22-C22</f>
        <v/>
      </c>
      <c r="E22" s="14">
        <f>'1. Hypothèses'!$B$19+'1. Hypothèses'!$B$20+'1. Hypothèses'!$B$21+D22*'1. Hypothèses'!$B$22</f>
        <v/>
      </c>
      <c r="F22" s="14">
        <f>-CUMIPMT('1. Hypothèses'!$B$11/12,'1. Hypothèses'!$B$12*12,'1. Hypothèses'!$B$10,(18-1)*12+1,18*12,0)</f>
        <v/>
      </c>
      <c r="G22" s="14">
        <f>D22-E22-F22</f>
        <v/>
      </c>
      <c r="H22" s="14">
        <f>MAX(0,G22)*'1. Hypothèses'!$B$26</f>
        <v/>
      </c>
      <c r="I22" s="14">
        <f>MAX(0,G22)*'1. Hypothèses'!$B$27</f>
        <v/>
      </c>
      <c r="J22" s="14">
        <f>H22+I22</f>
        <v/>
      </c>
      <c r="K22" s="14">
        <f>PMT('1. Hypothèses'!$B$11/12,'1. Hypothèses'!$B$12*12,-'1. Hypothèses'!$B$10)*12</f>
        <v/>
      </c>
      <c r="L22" s="14">
        <f>D22-E22-K22-J22</f>
        <v/>
      </c>
      <c r="M22" s="14">
        <f>-CUMPRINC('1. Hypothèses'!$B$11/12,'1. Hypothèses'!$B$12*12,'1. Hypothèses'!$B$10,1,18*12,0)</f>
        <v/>
      </c>
    </row>
    <row r="23">
      <c r="A23" s="13" t="n">
        <v>19</v>
      </c>
      <c r="B23" s="7">
        <f>'1. Hypothèses'!$B$17*(1+'1. Hypothèses'!$B$23)^(19-1)</f>
        <v/>
      </c>
      <c r="C23" s="7">
        <f>B23*'1. Hypothèses'!$B$18</f>
        <v/>
      </c>
      <c r="D23" s="7">
        <f>B23-C23</f>
        <v/>
      </c>
      <c r="E23" s="7">
        <f>'1. Hypothèses'!$B$19+'1. Hypothèses'!$B$20+'1. Hypothèses'!$B$21+D23*'1. Hypothèses'!$B$22</f>
        <v/>
      </c>
      <c r="F23" s="7">
        <f>-CUMIPMT('1. Hypothèses'!$B$11/12,'1. Hypothèses'!$B$12*12,'1. Hypothèses'!$B$10,(19-1)*12+1,19*12,0)</f>
        <v/>
      </c>
      <c r="G23" s="7">
        <f>D23-E23-F23</f>
        <v/>
      </c>
      <c r="H23" s="7">
        <f>MAX(0,G23)*'1. Hypothèses'!$B$26</f>
        <v/>
      </c>
      <c r="I23" s="7">
        <f>MAX(0,G23)*'1. Hypothèses'!$B$27</f>
        <v/>
      </c>
      <c r="J23" s="7">
        <f>H23+I23</f>
        <v/>
      </c>
      <c r="K23" s="7">
        <f>PMT('1. Hypothèses'!$B$11/12,'1. Hypothèses'!$B$12*12,-'1. Hypothèses'!$B$10)*12</f>
        <v/>
      </c>
      <c r="L23" s="7">
        <f>D23-E23-K23-J23</f>
        <v/>
      </c>
      <c r="M23" s="7">
        <f>-CUMPRINC('1. Hypothèses'!$B$11/12,'1. Hypothèses'!$B$12*12,'1. Hypothèses'!$B$10,1,19*12,0)</f>
        <v/>
      </c>
    </row>
    <row r="24">
      <c r="A24" s="13" t="n">
        <v>20</v>
      </c>
      <c r="B24" s="14">
        <f>'1. Hypothèses'!$B$17*(1+'1. Hypothèses'!$B$23)^(20-1)</f>
        <v/>
      </c>
      <c r="C24" s="14">
        <f>B24*'1. Hypothèses'!$B$18</f>
        <v/>
      </c>
      <c r="D24" s="14">
        <f>B24-C24</f>
        <v/>
      </c>
      <c r="E24" s="14">
        <f>'1. Hypothèses'!$B$19+'1. Hypothèses'!$B$20+'1. Hypothèses'!$B$21+D24*'1. Hypothèses'!$B$22</f>
        <v/>
      </c>
      <c r="F24" s="14">
        <f>-CUMIPMT('1. Hypothèses'!$B$11/12,'1. Hypothèses'!$B$12*12,'1. Hypothèses'!$B$10,(20-1)*12+1,20*12,0)</f>
        <v/>
      </c>
      <c r="G24" s="14">
        <f>D24-E24-F24</f>
        <v/>
      </c>
      <c r="H24" s="14">
        <f>MAX(0,G24)*'1. Hypothèses'!$B$26</f>
        <v/>
      </c>
      <c r="I24" s="14">
        <f>MAX(0,G24)*'1. Hypothèses'!$B$27</f>
        <v/>
      </c>
      <c r="J24" s="14">
        <f>H24+I24</f>
        <v/>
      </c>
      <c r="K24" s="14">
        <f>PMT('1. Hypothèses'!$B$11/12,'1. Hypothèses'!$B$12*12,-'1. Hypothèses'!$B$10)*12</f>
        <v/>
      </c>
      <c r="L24" s="14">
        <f>D24-E24-K24-J24</f>
        <v/>
      </c>
      <c r="M24" s="14">
        <f>-CUMPRINC('1. Hypothèses'!$B$11/12,'1. Hypothèses'!$B$12*12,'1. Hypothèses'!$B$10,1,20*12,0)</f>
        <v/>
      </c>
    </row>
    <row r="26" ht="26" customHeight="1">
      <c r="A26" s="15" t="inlineStr">
        <is>
          <t>CUMULS 20 ANS</t>
        </is>
      </c>
    </row>
    <row r="27">
      <c r="A27" s="16" t="inlineStr">
        <is>
          <t>Loyers nets encaissés cumulés</t>
        </is>
      </c>
      <c r="L27" s="17">
        <f>SUM(D5:D24)</f>
        <v/>
      </c>
    </row>
    <row r="28">
      <c r="A28" s="16" t="inlineStr">
        <is>
          <t>Impôts totaux payés sur 20 ans</t>
        </is>
      </c>
      <c r="L28" s="17">
        <f>SUM(J5:J24)</f>
        <v/>
      </c>
    </row>
    <row r="29">
      <c r="A29" s="16" t="inlineStr">
        <is>
          <t>Cash-flow net cumulé 20 ans</t>
        </is>
      </c>
      <c r="L29" s="17">
        <f>SUM(L5:L24)</f>
        <v/>
      </c>
    </row>
    <row r="30">
      <c r="A30" s="16" t="inlineStr">
        <is>
          <t>Capital remboursé total</t>
        </is>
      </c>
      <c r="L30" s="17">
        <f>-CUMPRINC('1. Hypothèses'!$B$11/12,'1. Hypothèses'!$B$12*12,'1. Hypothèses'!$B$10,1,20*12,0)</f>
        <v/>
      </c>
    </row>
    <row r="31">
      <c r="A31" s="16" t="inlineStr">
        <is>
          <t>Valeur revente nette (frais déduits)</t>
        </is>
      </c>
      <c r="L31" s="17">
        <f>'1. Hypothèses'!$B$33*(1-'1. Hypothèses'!$B$34)</f>
        <v/>
      </c>
    </row>
    <row r="32">
      <c r="A32" s="16" t="inlineStr">
        <is>
          <t>Plus-value brute (revente - prix d'achat)</t>
        </is>
      </c>
      <c r="L32" s="17">
        <f>'1. Hypothèses'!$B$33-'1. Hypothèses'!$B$5-'1. Hypothèses'!$B$6-'1. Hypothèses'!$B$7</f>
        <v/>
      </c>
    </row>
    <row r="33">
      <c r="A33" s="16" t="inlineStr">
        <is>
          <t>Plus-value imposable après abattement</t>
        </is>
      </c>
      <c r="L33" s="17">
        <f>MAX(0,('1. Hypothèses'!$B$33-'1. Hypothèses'!$B$5-'1. Hypothèses'!$B$6-'1. Hypothèses'!$B$7)*(1-'1. Hypothèses'!$B$36))</f>
        <v/>
      </c>
    </row>
    <row r="34">
      <c r="A34" s="16" t="inlineStr">
        <is>
          <t>Impôt PV (19% IR + 17,2% PS)</t>
        </is>
      </c>
      <c r="L34" s="17">
        <f>L33*(0.19+0.172)</f>
        <v/>
      </c>
    </row>
    <row r="35">
      <c r="A35" s="16" t="inlineStr">
        <is>
          <t>Patrimoine net final (revente nette - impôt PV + cash flow cumulé)</t>
        </is>
      </c>
      <c r="L35" s="18">
        <f>L31-L34+L29</f>
        <v/>
      </c>
    </row>
  </sheetData>
  <mergeCells count="12">
    <mergeCell ref="A34:K34"/>
    <mergeCell ref="A35:K35"/>
    <mergeCell ref="A1:M1"/>
    <mergeCell ref="A30:K30"/>
    <mergeCell ref="A29:K29"/>
    <mergeCell ref="A26:D26"/>
    <mergeCell ref="A33:K33"/>
    <mergeCell ref="A28:K28"/>
    <mergeCell ref="A32:K32"/>
    <mergeCell ref="A2:M2"/>
    <mergeCell ref="A27:K27"/>
    <mergeCell ref="A31:K3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36"/>
  <sheetViews>
    <sheetView showGridLines="0"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3" customWidth="1" min="9" max="9"/>
    <col width="14" customWidth="1" min="10" max="10"/>
    <col width="13" customWidth="1" min="11" max="11"/>
    <col width="16" customWidth="1" min="12" max="12"/>
    <col width="15" customWidth="1" min="13" max="13"/>
  </cols>
  <sheetData>
    <row r="1" ht="36" customHeight="1">
      <c r="A1" s="1" t="inlineStr">
        <is>
          <t>SCI À L'IS — Régime des sociétés (amortissement déductible)</t>
        </is>
      </c>
    </row>
    <row r="2" ht="22" customHeight="1">
      <c r="A2" s="2" t="inlineStr">
        <is>
          <t>IS 15 % jusqu'à 42 500 €, puis 25 %. Amortissement immeuble (hors terrain) sur 30 ans + travaux sur 10 ans.</t>
        </is>
      </c>
    </row>
    <row r="4" ht="36" customHeight="1">
      <c r="A4" s="12" t="inlineStr">
        <is>
          <t>Année</t>
        </is>
      </c>
      <c r="B4" s="12" t="inlineStr">
        <is>
          <t>Loyer brut</t>
        </is>
      </c>
      <c r="C4" s="12" t="inlineStr">
        <is>
          <t>Loyer net encaissé</t>
        </is>
      </c>
      <c r="D4" s="12" t="inlineStr">
        <is>
          <t>Charges déductibles</t>
        </is>
      </c>
      <c r="E4" s="12" t="inlineStr">
        <is>
          <t>Intérêts emprunt</t>
        </is>
      </c>
      <c r="F4" s="12" t="inlineStr">
        <is>
          <t>Amortissement immeuble</t>
        </is>
      </c>
      <c r="G4" s="12" t="inlineStr">
        <is>
          <t>Amortissement travaux</t>
        </is>
      </c>
      <c r="H4" s="12" t="inlineStr">
        <is>
          <t>Résultat fiscal IS</t>
        </is>
      </c>
      <c r="I4" s="12" t="inlineStr">
        <is>
          <t>IS (15/25%)</t>
        </is>
      </c>
      <c r="J4" s="12" t="inlineStr">
        <is>
          <t>Mensualité totale</t>
        </is>
      </c>
      <c r="K4" s="12" t="inlineStr">
        <is>
          <t>Cash-flow net</t>
        </is>
      </c>
      <c r="L4" s="12" t="inlineStr">
        <is>
          <t>Capital remboursé cumulé</t>
        </is>
      </c>
      <c r="M4" s="12" t="inlineStr">
        <is>
          <t>Valeur nette comptable</t>
        </is>
      </c>
    </row>
    <row r="5">
      <c r="A5" s="13" t="n">
        <v>1</v>
      </c>
      <c r="B5" s="7">
        <f>'1. Hypothèses'!$B$17*(1+'1. Hypothèses'!$B$23)^(1-1)</f>
        <v/>
      </c>
      <c r="C5" s="7">
        <f>B5*(1-'1. Hypothèses'!$B$18)</f>
        <v/>
      </c>
      <c r="D5" s="7">
        <f>'1. Hypothèses'!$B$19+'1. Hypothèses'!$B$20+'1. Hypothèses'!$B$21+C5*'1. Hypothèses'!$B$22</f>
        <v/>
      </c>
      <c r="E5" s="7">
        <f>-CUMIPMT('1. Hypothèses'!$B$11/12,'1. Hypothèses'!$B$12*12,'1. Hypothèses'!$B$10,(1-1)*12+1,1*12,0)</f>
        <v/>
      </c>
      <c r="F5" s="7">
        <f>('1. Hypothèses'!$B$5+'1. Hypothèses'!$B$6)*(1-0.15)/30</f>
        <v/>
      </c>
      <c r="G5" s="7">
        <f>'1. Hypothèses'!$B$7/10</f>
        <v/>
      </c>
      <c r="H5" s="7">
        <f>C5-D5-E5-F5-G5</f>
        <v/>
      </c>
      <c r="I5" s="7">
        <f>IF(H5&lt;=0,0,IF(H5&lt;=42500,H5*'1. Hypothèses'!$B$28,42500*'1. Hypothèses'!$B$28+(H5-42500)*'1. Hypothèses'!$B$29))</f>
        <v/>
      </c>
      <c r="J5" s="7">
        <f>PMT('1. Hypothèses'!$B$11/12,'1. Hypothèses'!$B$12*12,-'1. Hypothèses'!$B$10)*12</f>
        <v/>
      </c>
      <c r="K5" s="7">
        <f>C5-D5-J5-I5</f>
        <v/>
      </c>
      <c r="L5" s="7">
        <f>-CUMPRINC('1. Hypothèses'!$B$11/12,'1. Hypothèses'!$B$12*12,'1. Hypothèses'!$B$10,1,1*12,0)</f>
        <v/>
      </c>
      <c r="M5" s="7">
        <f>('1. Hypothèses'!$B$5+'1. Hypothèses'!$B$6)-('1. Hypothèses'!$B$5+'1. Hypothèses'!$B$6)*(1-0.15)/30*MIN(1,30)+'1. Hypothèses'!$B$7-'1. Hypothèses'!$B$7/10*MIN(1,10)</f>
        <v/>
      </c>
    </row>
    <row r="6">
      <c r="A6" s="13" t="n">
        <v>2</v>
      </c>
      <c r="B6" s="14">
        <f>'1. Hypothèses'!$B$17*(1+'1. Hypothèses'!$B$23)^(2-1)</f>
        <v/>
      </c>
      <c r="C6" s="14">
        <f>B6*(1-'1. Hypothèses'!$B$18)</f>
        <v/>
      </c>
      <c r="D6" s="14">
        <f>'1. Hypothèses'!$B$19+'1. Hypothèses'!$B$20+'1. Hypothèses'!$B$21+C6*'1. Hypothèses'!$B$22</f>
        <v/>
      </c>
      <c r="E6" s="14">
        <f>-CUMIPMT('1. Hypothèses'!$B$11/12,'1. Hypothèses'!$B$12*12,'1. Hypothèses'!$B$10,(2-1)*12+1,2*12,0)</f>
        <v/>
      </c>
      <c r="F6" s="14">
        <f>('1. Hypothèses'!$B$5+'1. Hypothèses'!$B$6)*(1-0.15)/30</f>
        <v/>
      </c>
      <c r="G6" s="14">
        <f>'1. Hypothèses'!$B$7/10</f>
        <v/>
      </c>
      <c r="H6" s="14">
        <f>C6-D6-E6-F6-G6</f>
        <v/>
      </c>
      <c r="I6" s="14">
        <f>IF(H6&lt;=0,0,IF(H6&lt;=42500,H6*'1. Hypothèses'!$B$28,42500*'1. Hypothèses'!$B$28+(H6-42500)*'1. Hypothèses'!$B$29))</f>
        <v/>
      </c>
      <c r="J6" s="14">
        <f>PMT('1. Hypothèses'!$B$11/12,'1. Hypothèses'!$B$12*12,-'1. Hypothèses'!$B$10)*12</f>
        <v/>
      </c>
      <c r="K6" s="14">
        <f>C6-D6-J6-I6</f>
        <v/>
      </c>
      <c r="L6" s="14">
        <f>-CUMPRINC('1. Hypothèses'!$B$11/12,'1. Hypothèses'!$B$12*12,'1. Hypothèses'!$B$10,1,2*12,0)</f>
        <v/>
      </c>
      <c r="M6" s="14">
        <f>('1. Hypothèses'!$B$5+'1. Hypothèses'!$B$6)-('1. Hypothèses'!$B$5+'1. Hypothèses'!$B$6)*(1-0.15)/30*MIN(2,30)+'1. Hypothèses'!$B$7-'1. Hypothèses'!$B$7/10*MIN(2,10)</f>
        <v/>
      </c>
    </row>
    <row r="7">
      <c r="A7" s="13" t="n">
        <v>3</v>
      </c>
      <c r="B7" s="7">
        <f>'1. Hypothèses'!$B$17*(1+'1. Hypothèses'!$B$23)^(3-1)</f>
        <v/>
      </c>
      <c r="C7" s="7">
        <f>B7*(1-'1. Hypothèses'!$B$18)</f>
        <v/>
      </c>
      <c r="D7" s="7">
        <f>'1. Hypothèses'!$B$19+'1. Hypothèses'!$B$20+'1. Hypothèses'!$B$21+C7*'1. Hypothèses'!$B$22</f>
        <v/>
      </c>
      <c r="E7" s="7">
        <f>-CUMIPMT('1. Hypothèses'!$B$11/12,'1. Hypothèses'!$B$12*12,'1. Hypothèses'!$B$10,(3-1)*12+1,3*12,0)</f>
        <v/>
      </c>
      <c r="F7" s="7">
        <f>('1. Hypothèses'!$B$5+'1. Hypothèses'!$B$6)*(1-0.15)/30</f>
        <v/>
      </c>
      <c r="G7" s="7">
        <f>'1. Hypothèses'!$B$7/10</f>
        <v/>
      </c>
      <c r="H7" s="7">
        <f>C7-D7-E7-F7-G7</f>
        <v/>
      </c>
      <c r="I7" s="7">
        <f>IF(H7&lt;=0,0,IF(H7&lt;=42500,H7*'1. Hypothèses'!$B$28,42500*'1. Hypothèses'!$B$28+(H7-42500)*'1. Hypothèses'!$B$29))</f>
        <v/>
      </c>
      <c r="J7" s="7">
        <f>PMT('1. Hypothèses'!$B$11/12,'1. Hypothèses'!$B$12*12,-'1. Hypothèses'!$B$10)*12</f>
        <v/>
      </c>
      <c r="K7" s="7">
        <f>C7-D7-J7-I7</f>
        <v/>
      </c>
      <c r="L7" s="7">
        <f>-CUMPRINC('1. Hypothèses'!$B$11/12,'1. Hypothèses'!$B$12*12,'1. Hypothèses'!$B$10,1,3*12,0)</f>
        <v/>
      </c>
      <c r="M7" s="7">
        <f>('1. Hypothèses'!$B$5+'1. Hypothèses'!$B$6)-('1. Hypothèses'!$B$5+'1. Hypothèses'!$B$6)*(1-0.15)/30*MIN(3,30)+'1. Hypothèses'!$B$7-'1. Hypothèses'!$B$7/10*MIN(3,10)</f>
        <v/>
      </c>
    </row>
    <row r="8">
      <c r="A8" s="13" t="n">
        <v>4</v>
      </c>
      <c r="B8" s="14">
        <f>'1. Hypothèses'!$B$17*(1+'1. Hypothèses'!$B$23)^(4-1)</f>
        <v/>
      </c>
      <c r="C8" s="14">
        <f>B8*(1-'1. Hypothèses'!$B$18)</f>
        <v/>
      </c>
      <c r="D8" s="14">
        <f>'1. Hypothèses'!$B$19+'1. Hypothèses'!$B$20+'1. Hypothèses'!$B$21+C8*'1. Hypothèses'!$B$22</f>
        <v/>
      </c>
      <c r="E8" s="14">
        <f>-CUMIPMT('1. Hypothèses'!$B$11/12,'1. Hypothèses'!$B$12*12,'1. Hypothèses'!$B$10,(4-1)*12+1,4*12,0)</f>
        <v/>
      </c>
      <c r="F8" s="14">
        <f>('1. Hypothèses'!$B$5+'1. Hypothèses'!$B$6)*(1-0.15)/30</f>
        <v/>
      </c>
      <c r="G8" s="14">
        <f>'1. Hypothèses'!$B$7/10</f>
        <v/>
      </c>
      <c r="H8" s="14">
        <f>C8-D8-E8-F8-G8</f>
        <v/>
      </c>
      <c r="I8" s="14">
        <f>IF(H8&lt;=0,0,IF(H8&lt;=42500,H8*'1. Hypothèses'!$B$28,42500*'1. Hypothèses'!$B$28+(H8-42500)*'1. Hypothèses'!$B$29))</f>
        <v/>
      </c>
      <c r="J8" s="14">
        <f>PMT('1. Hypothèses'!$B$11/12,'1. Hypothèses'!$B$12*12,-'1. Hypothèses'!$B$10)*12</f>
        <v/>
      </c>
      <c r="K8" s="14">
        <f>C8-D8-J8-I8</f>
        <v/>
      </c>
      <c r="L8" s="14">
        <f>-CUMPRINC('1. Hypothèses'!$B$11/12,'1. Hypothèses'!$B$12*12,'1. Hypothèses'!$B$10,1,4*12,0)</f>
        <v/>
      </c>
      <c r="M8" s="14">
        <f>('1. Hypothèses'!$B$5+'1. Hypothèses'!$B$6)-('1. Hypothèses'!$B$5+'1. Hypothèses'!$B$6)*(1-0.15)/30*MIN(4,30)+'1. Hypothèses'!$B$7-'1. Hypothèses'!$B$7/10*MIN(4,10)</f>
        <v/>
      </c>
    </row>
    <row r="9">
      <c r="A9" s="13" t="n">
        <v>5</v>
      </c>
      <c r="B9" s="7">
        <f>'1. Hypothèses'!$B$17*(1+'1. Hypothèses'!$B$23)^(5-1)</f>
        <v/>
      </c>
      <c r="C9" s="7">
        <f>B9*(1-'1. Hypothèses'!$B$18)</f>
        <v/>
      </c>
      <c r="D9" s="7">
        <f>'1. Hypothèses'!$B$19+'1. Hypothèses'!$B$20+'1. Hypothèses'!$B$21+C9*'1. Hypothèses'!$B$22</f>
        <v/>
      </c>
      <c r="E9" s="7">
        <f>-CUMIPMT('1. Hypothèses'!$B$11/12,'1. Hypothèses'!$B$12*12,'1. Hypothèses'!$B$10,(5-1)*12+1,5*12,0)</f>
        <v/>
      </c>
      <c r="F9" s="7">
        <f>('1. Hypothèses'!$B$5+'1. Hypothèses'!$B$6)*(1-0.15)/30</f>
        <v/>
      </c>
      <c r="G9" s="7">
        <f>'1. Hypothèses'!$B$7/10</f>
        <v/>
      </c>
      <c r="H9" s="7">
        <f>C9-D9-E9-F9-G9</f>
        <v/>
      </c>
      <c r="I9" s="7">
        <f>IF(H9&lt;=0,0,IF(H9&lt;=42500,H9*'1. Hypothèses'!$B$28,42500*'1. Hypothèses'!$B$28+(H9-42500)*'1. Hypothèses'!$B$29))</f>
        <v/>
      </c>
      <c r="J9" s="7">
        <f>PMT('1. Hypothèses'!$B$11/12,'1. Hypothèses'!$B$12*12,-'1. Hypothèses'!$B$10)*12</f>
        <v/>
      </c>
      <c r="K9" s="7">
        <f>C9-D9-J9-I9</f>
        <v/>
      </c>
      <c r="L9" s="7">
        <f>-CUMPRINC('1. Hypothèses'!$B$11/12,'1. Hypothèses'!$B$12*12,'1. Hypothèses'!$B$10,1,5*12,0)</f>
        <v/>
      </c>
      <c r="M9" s="7">
        <f>('1. Hypothèses'!$B$5+'1. Hypothèses'!$B$6)-('1. Hypothèses'!$B$5+'1. Hypothèses'!$B$6)*(1-0.15)/30*MIN(5,30)+'1. Hypothèses'!$B$7-'1. Hypothèses'!$B$7/10*MIN(5,10)</f>
        <v/>
      </c>
    </row>
    <row r="10">
      <c r="A10" s="13" t="n">
        <v>6</v>
      </c>
      <c r="B10" s="14">
        <f>'1. Hypothèses'!$B$17*(1+'1. Hypothèses'!$B$23)^(6-1)</f>
        <v/>
      </c>
      <c r="C10" s="14">
        <f>B10*(1-'1. Hypothèses'!$B$18)</f>
        <v/>
      </c>
      <c r="D10" s="14">
        <f>'1. Hypothèses'!$B$19+'1. Hypothèses'!$B$20+'1. Hypothèses'!$B$21+C10*'1. Hypothèses'!$B$22</f>
        <v/>
      </c>
      <c r="E10" s="14">
        <f>-CUMIPMT('1. Hypothèses'!$B$11/12,'1. Hypothèses'!$B$12*12,'1. Hypothèses'!$B$10,(6-1)*12+1,6*12,0)</f>
        <v/>
      </c>
      <c r="F10" s="14">
        <f>('1. Hypothèses'!$B$5+'1. Hypothèses'!$B$6)*(1-0.15)/30</f>
        <v/>
      </c>
      <c r="G10" s="14">
        <f>'1. Hypothèses'!$B$7/10</f>
        <v/>
      </c>
      <c r="H10" s="14">
        <f>C10-D10-E10-F10-G10</f>
        <v/>
      </c>
      <c r="I10" s="14">
        <f>IF(H10&lt;=0,0,IF(H10&lt;=42500,H10*'1. Hypothèses'!$B$28,42500*'1. Hypothèses'!$B$28+(H10-42500)*'1. Hypothèses'!$B$29))</f>
        <v/>
      </c>
      <c r="J10" s="14">
        <f>PMT('1. Hypothèses'!$B$11/12,'1. Hypothèses'!$B$12*12,-'1. Hypothèses'!$B$10)*12</f>
        <v/>
      </c>
      <c r="K10" s="14">
        <f>C10-D10-J10-I10</f>
        <v/>
      </c>
      <c r="L10" s="14">
        <f>-CUMPRINC('1. Hypothèses'!$B$11/12,'1. Hypothèses'!$B$12*12,'1. Hypothèses'!$B$10,1,6*12,0)</f>
        <v/>
      </c>
      <c r="M10" s="14">
        <f>('1. Hypothèses'!$B$5+'1. Hypothèses'!$B$6)-('1. Hypothèses'!$B$5+'1. Hypothèses'!$B$6)*(1-0.15)/30*MIN(6,30)+'1. Hypothèses'!$B$7-'1. Hypothèses'!$B$7/10*MIN(6,10)</f>
        <v/>
      </c>
    </row>
    <row r="11">
      <c r="A11" s="13" t="n">
        <v>7</v>
      </c>
      <c r="B11" s="7">
        <f>'1. Hypothèses'!$B$17*(1+'1. Hypothèses'!$B$23)^(7-1)</f>
        <v/>
      </c>
      <c r="C11" s="7">
        <f>B11*(1-'1. Hypothèses'!$B$18)</f>
        <v/>
      </c>
      <c r="D11" s="7">
        <f>'1. Hypothèses'!$B$19+'1. Hypothèses'!$B$20+'1. Hypothèses'!$B$21+C11*'1. Hypothèses'!$B$22</f>
        <v/>
      </c>
      <c r="E11" s="7">
        <f>-CUMIPMT('1. Hypothèses'!$B$11/12,'1. Hypothèses'!$B$12*12,'1. Hypothèses'!$B$10,(7-1)*12+1,7*12,0)</f>
        <v/>
      </c>
      <c r="F11" s="7">
        <f>('1. Hypothèses'!$B$5+'1. Hypothèses'!$B$6)*(1-0.15)/30</f>
        <v/>
      </c>
      <c r="G11" s="7">
        <f>'1. Hypothèses'!$B$7/10</f>
        <v/>
      </c>
      <c r="H11" s="7">
        <f>C11-D11-E11-F11-G11</f>
        <v/>
      </c>
      <c r="I11" s="7">
        <f>IF(H11&lt;=0,0,IF(H11&lt;=42500,H11*'1. Hypothèses'!$B$28,42500*'1. Hypothèses'!$B$28+(H11-42500)*'1. Hypothèses'!$B$29))</f>
        <v/>
      </c>
      <c r="J11" s="7">
        <f>PMT('1. Hypothèses'!$B$11/12,'1. Hypothèses'!$B$12*12,-'1. Hypothèses'!$B$10)*12</f>
        <v/>
      </c>
      <c r="K11" s="7">
        <f>C11-D11-J11-I11</f>
        <v/>
      </c>
      <c r="L11" s="7">
        <f>-CUMPRINC('1. Hypothèses'!$B$11/12,'1. Hypothèses'!$B$12*12,'1. Hypothèses'!$B$10,1,7*12,0)</f>
        <v/>
      </c>
      <c r="M11" s="7">
        <f>('1. Hypothèses'!$B$5+'1. Hypothèses'!$B$6)-('1. Hypothèses'!$B$5+'1. Hypothèses'!$B$6)*(1-0.15)/30*MIN(7,30)+'1. Hypothèses'!$B$7-'1. Hypothèses'!$B$7/10*MIN(7,10)</f>
        <v/>
      </c>
    </row>
    <row r="12">
      <c r="A12" s="13" t="n">
        <v>8</v>
      </c>
      <c r="B12" s="14">
        <f>'1. Hypothèses'!$B$17*(1+'1. Hypothèses'!$B$23)^(8-1)</f>
        <v/>
      </c>
      <c r="C12" s="14">
        <f>B12*(1-'1. Hypothèses'!$B$18)</f>
        <v/>
      </c>
      <c r="D12" s="14">
        <f>'1. Hypothèses'!$B$19+'1. Hypothèses'!$B$20+'1. Hypothèses'!$B$21+C12*'1. Hypothèses'!$B$22</f>
        <v/>
      </c>
      <c r="E12" s="14">
        <f>-CUMIPMT('1. Hypothèses'!$B$11/12,'1. Hypothèses'!$B$12*12,'1. Hypothèses'!$B$10,(8-1)*12+1,8*12,0)</f>
        <v/>
      </c>
      <c r="F12" s="14">
        <f>('1. Hypothèses'!$B$5+'1. Hypothèses'!$B$6)*(1-0.15)/30</f>
        <v/>
      </c>
      <c r="G12" s="14">
        <f>'1. Hypothèses'!$B$7/10</f>
        <v/>
      </c>
      <c r="H12" s="14">
        <f>C12-D12-E12-F12-G12</f>
        <v/>
      </c>
      <c r="I12" s="14">
        <f>IF(H12&lt;=0,0,IF(H12&lt;=42500,H12*'1. Hypothèses'!$B$28,42500*'1. Hypothèses'!$B$28+(H12-42500)*'1. Hypothèses'!$B$29))</f>
        <v/>
      </c>
      <c r="J12" s="14">
        <f>PMT('1. Hypothèses'!$B$11/12,'1. Hypothèses'!$B$12*12,-'1. Hypothèses'!$B$10)*12</f>
        <v/>
      </c>
      <c r="K12" s="14">
        <f>C12-D12-J12-I12</f>
        <v/>
      </c>
      <c r="L12" s="14">
        <f>-CUMPRINC('1. Hypothèses'!$B$11/12,'1. Hypothèses'!$B$12*12,'1. Hypothèses'!$B$10,1,8*12,0)</f>
        <v/>
      </c>
      <c r="M12" s="14">
        <f>('1. Hypothèses'!$B$5+'1. Hypothèses'!$B$6)-('1. Hypothèses'!$B$5+'1. Hypothèses'!$B$6)*(1-0.15)/30*MIN(8,30)+'1. Hypothèses'!$B$7-'1. Hypothèses'!$B$7/10*MIN(8,10)</f>
        <v/>
      </c>
    </row>
    <row r="13">
      <c r="A13" s="13" t="n">
        <v>9</v>
      </c>
      <c r="B13" s="7">
        <f>'1. Hypothèses'!$B$17*(1+'1. Hypothèses'!$B$23)^(9-1)</f>
        <v/>
      </c>
      <c r="C13" s="7">
        <f>B13*(1-'1. Hypothèses'!$B$18)</f>
        <v/>
      </c>
      <c r="D13" s="7">
        <f>'1. Hypothèses'!$B$19+'1. Hypothèses'!$B$20+'1. Hypothèses'!$B$21+C13*'1. Hypothèses'!$B$22</f>
        <v/>
      </c>
      <c r="E13" s="7">
        <f>-CUMIPMT('1. Hypothèses'!$B$11/12,'1. Hypothèses'!$B$12*12,'1. Hypothèses'!$B$10,(9-1)*12+1,9*12,0)</f>
        <v/>
      </c>
      <c r="F13" s="7">
        <f>('1. Hypothèses'!$B$5+'1. Hypothèses'!$B$6)*(1-0.15)/30</f>
        <v/>
      </c>
      <c r="G13" s="7">
        <f>'1. Hypothèses'!$B$7/10</f>
        <v/>
      </c>
      <c r="H13" s="7">
        <f>C13-D13-E13-F13-G13</f>
        <v/>
      </c>
      <c r="I13" s="7">
        <f>IF(H13&lt;=0,0,IF(H13&lt;=42500,H13*'1. Hypothèses'!$B$28,42500*'1. Hypothèses'!$B$28+(H13-42500)*'1. Hypothèses'!$B$29))</f>
        <v/>
      </c>
      <c r="J13" s="7">
        <f>PMT('1. Hypothèses'!$B$11/12,'1. Hypothèses'!$B$12*12,-'1. Hypothèses'!$B$10)*12</f>
        <v/>
      </c>
      <c r="K13" s="7">
        <f>C13-D13-J13-I13</f>
        <v/>
      </c>
      <c r="L13" s="7">
        <f>-CUMPRINC('1. Hypothèses'!$B$11/12,'1. Hypothèses'!$B$12*12,'1. Hypothèses'!$B$10,1,9*12,0)</f>
        <v/>
      </c>
      <c r="M13" s="7">
        <f>('1. Hypothèses'!$B$5+'1. Hypothèses'!$B$6)-('1. Hypothèses'!$B$5+'1. Hypothèses'!$B$6)*(1-0.15)/30*MIN(9,30)+'1. Hypothèses'!$B$7-'1. Hypothèses'!$B$7/10*MIN(9,10)</f>
        <v/>
      </c>
    </row>
    <row r="14">
      <c r="A14" s="13" t="n">
        <v>10</v>
      </c>
      <c r="B14" s="14">
        <f>'1. Hypothèses'!$B$17*(1+'1. Hypothèses'!$B$23)^(10-1)</f>
        <v/>
      </c>
      <c r="C14" s="14">
        <f>B14*(1-'1. Hypothèses'!$B$18)</f>
        <v/>
      </c>
      <c r="D14" s="14">
        <f>'1. Hypothèses'!$B$19+'1. Hypothèses'!$B$20+'1. Hypothèses'!$B$21+C14*'1. Hypothèses'!$B$22</f>
        <v/>
      </c>
      <c r="E14" s="14">
        <f>-CUMIPMT('1. Hypothèses'!$B$11/12,'1. Hypothèses'!$B$12*12,'1. Hypothèses'!$B$10,(10-1)*12+1,10*12,0)</f>
        <v/>
      </c>
      <c r="F14" s="14">
        <f>('1. Hypothèses'!$B$5+'1. Hypothèses'!$B$6)*(1-0.15)/30</f>
        <v/>
      </c>
      <c r="G14" s="14">
        <f>'1. Hypothèses'!$B$7/10</f>
        <v/>
      </c>
      <c r="H14" s="14">
        <f>C14-D14-E14-F14-G14</f>
        <v/>
      </c>
      <c r="I14" s="14">
        <f>IF(H14&lt;=0,0,IF(H14&lt;=42500,H14*'1. Hypothèses'!$B$28,42500*'1. Hypothèses'!$B$28+(H14-42500)*'1. Hypothèses'!$B$29))</f>
        <v/>
      </c>
      <c r="J14" s="14">
        <f>PMT('1. Hypothèses'!$B$11/12,'1. Hypothèses'!$B$12*12,-'1. Hypothèses'!$B$10)*12</f>
        <v/>
      </c>
      <c r="K14" s="14">
        <f>C14-D14-J14-I14</f>
        <v/>
      </c>
      <c r="L14" s="14">
        <f>-CUMPRINC('1. Hypothèses'!$B$11/12,'1. Hypothèses'!$B$12*12,'1. Hypothèses'!$B$10,1,10*12,0)</f>
        <v/>
      </c>
      <c r="M14" s="14">
        <f>('1. Hypothèses'!$B$5+'1. Hypothèses'!$B$6)-('1. Hypothèses'!$B$5+'1. Hypothèses'!$B$6)*(1-0.15)/30*MIN(10,30)+'1. Hypothèses'!$B$7-'1. Hypothèses'!$B$7/10*MIN(10,10)</f>
        <v/>
      </c>
    </row>
    <row r="15">
      <c r="A15" s="13" t="n">
        <v>11</v>
      </c>
      <c r="B15" s="7">
        <f>'1. Hypothèses'!$B$17*(1+'1. Hypothèses'!$B$23)^(11-1)</f>
        <v/>
      </c>
      <c r="C15" s="7">
        <f>B15*(1-'1. Hypothèses'!$B$18)</f>
        <v/>
      </c>
      <c r="D15" s="7">
        <f>'1. Hypothèses'!$B$19+'1. Hypothèses'!$B$20+'1. Hypothèses'!$B$21+C15*'1. Hypothèses'!$B$22</f>
        <v/>
      </c>
      <c r="E15" s="7">
        <f>-CUMIPMT('1. Hypothèses'!$B$11/12,'1. Hypothèses'!$B$12*12,'1. Hypothèses'!$B$10,(11-1)*12+1,11*12,0)</f>
        <v/>
      </c>
      <c r="F15" s="7">
        <f>('1. Hypothèses'!$B$5+'1. Hypothèses'!$B$6)*(1-0.15)/30</f>
        <v/>
      </c>
      <c r="G15" s="7" t="n">
        <v>0</v>
      </c>
      <c r="H15" s="7">
        <f>C15-D15-E15-F15-G15</f>
        <v/>
      </c>
      <c r="I15" s="7">
        <f>IF(H15&lt;=0,0,IF(H15&lt;=42500,H15*'1. Hypothèses'!$B$28,42500*'1. Hypothèses'!$B$28+(H15-42500)*'1. Hypothèses'!$B$29))</f>
        <v/>
      </c>
      <c r="J15" s="7">
        <f>PMT('1. Hypothèses'!$B$11/12,'1. Hypothèses'!$B$12*12,-'1. Hypothèses'!$B$10)*12</f>
        <v/>
      </c>
      <c r="K15" s="7">
        <f>C15-D15-J15-I15</f>
        <v/>
      </c>
      <c r="L15" s="7">
        <f>-CUMPRINC('1. Hypothèses'!$B$11/12,'1. Hypothèses'!$B$12*12,'1. Hypothèses'!$B$10,1,11*12,0)</f>
        <v/>
      </c>
      <c r="M15" s="7">
        <f>('1. Hypothèses'!$B$5+'1. Hypothèses'!$B$6)-('1. Hypothèses'!$B$5+'1. Hypothèses'!$B$6)*(1-0.15)/30*MIN(11,30)+'1. Hypothèses'!$B$7-'1. Hypothèses'!$B$7/10*MIN(11,10)</f>
        <v/>
      </c>
    </row>
    <row r="16">
      <c r="A16" s="13" t="n">
        <v>12</v>
      </c>
      <c r="B16" s="14">
        <f>'1. Hypothèses'!$B$17*(1+'1. Hypothèses'!$B$23)^(12-1)</f>
        <v/>
      </c>
      <c r="C16" s="14">
        <f>B16*(1-'1. Hypothèses'!$B$18)</f>
        <v/>
      </c>
      <c r="D16" s="14">
        <f>'1. Hypothèses'!$B$19+'1. Hypothèses'!$B$20+'1. Hypothèses'!$B$21+C16*'1. Hypothèses'!$B$22</f>
        <v/>
      </c>
      <c r="E16" s="14">
        <f>-CUMIPMT('1. Hypothèses'!$B$11/12,'1. Hypothèses'!$B$12*12,'1. Hypothèses'!$B$10,(12-1)*12+1,12*12,0)</f>
        <v/>
      </c>
      <c r="F16" s="14">
        <f>('1. Hypothèses'!$B$5+'1. Hypothèses'!$B$6)*(1-0.15)/30</f>
        <v/>
      </c>
      <c r="G16" s="14" t="n">
        <v>0</v>
      </c>
      <c r="H16" s="14">
        <f>C16-D16-E16-F16-G16</f>
        <v/>
      </c>
      <c r="I16" s="14">
        <f>IF(H16&lt;=0,0,IF(H16&lt;=42500,H16*'1. Hypothèses'!$B$28,42500*'1. Hypothèses'!$B$28+(H16-42500)*'1. Hypothèses'!$B$29))</f>
        <v/>
      </c>
      <c r="J16" s="14">
        <f>PMT('1. Hypothèses'!$B$11/12,'1. Hypothèses'!$B$12*12,-'1. Hypothèses'!$B$10)*12</f>
        <v/>
      </c>
      <c r="K16" s="14">
        <f>C16-D16-J16-I16</f>
        <v/>
      </c>
      <c r="L16" s="14">
        <f>-CUMPRINC('1. Hypothèses'!$B$11/12,'1. Hypothèses'!$B$12*12,'1. Hypothèses'!$B$10,1,12*12,0)</f>
        <v/>
      </c>
      <c r="M16" s="14">
        <f>('1. Hypothèses'!$B$5+'1. Hypothèses'!$B$6)-('1. Hypothèses'!$B$5+'1. Hypothèses'!$B$6)*(1-0.15)/30*MIN(12,30)+'1. Hypothèses'!$B$7-'1. Hypothèses'!$B$7/10*MIN(12,10)</f>
        <v/>
      </c>
    </row>
    <row r="17">
      <c r="A17" s="13" t="n">
        <v>13</v>
      </c>
      <c r="B17" s="7">
        <f>'1. Hypothèses'!$B$17*(1+'1. Hypothèses'!$B$23)^(13-1)</f>
        <v/>
      </c>
      <c r="C17" s="7">
        <f>B17*(1-'1. Hypothèses'!$B$18)</f>
        <v/>
      </c>
      <c r="D17" s="7">
        <f>'1. Hypothèses'!$B$19+'1. Hypothèses'!$B$20+'1. Hypothèses'!$B$21+C17*'1. Hypothèses'!$B$22</f>
        <v/>
      </c>
      <c r="E17" s="7">
        <f>-CUMIPMT('1. Hypothèses'!$B$11/12,'1. Hypothèses'!$B$12*12,'1. Hypothèses'!$B$10,(13-1)*12+1,13*12,0)</f>
        <v/>
      </c>
      <c r="F17" s="7">
        <f>('1. Hypothèses'!$B$5+'1. Hypothèses'!$B$6)*(1-0.15)/30</f>
        <v/>
      </c>
      <c r="G17" s="7" t="n">
        <v>0</v>
      </c>
      <c r="H17" s="7">
        <f>C17-D17-E17-F17-G17</f>
        <v/>
      </c>
      <c r="I17" s="7">
        <f>IF(H17&lt;=0,0,IF(H17&lt;=42500,H17*'1. Hypothèses'!$B$28,42500*'1. Hypothèses'!$B$28+(H17-42500)*'1. Hypothèses'!$B$29))</f>
        <v/>
      </c>
      <c r="J17" s="7">
        <f>PMT('1. Hypothèses'!$B$11/12,'1. Hypothèses'!$B$12*12,-'1. Hypothèses'!$B$10)*12</f>
        <v/>
      </c>
      <c r="K17" s="7">
        <f>C17-D17-J17-I17</f>
        <v/>
      </c>
      <c r="L17" s="7">
        <f>-CUMPRINC('1. Hypothèses'!$B$11/12,'1. Hypothèses'!$B$12*12,'1. Hypothèses'!$B$10,1,13*12,0)</f>
        <v/>
      </c>
      <c r="M17" s="7">
        <f>('1. Hypothèses'!$B$5+'1. Hypothèses'!$B$6)-('1. Hypothèses'!$B$5+'1. Hypothèses'!$B$6)*(1-0.15)/30*MIN(13,30)+'1. Hypothèses'!$B$7-'1. Hypothèses'!$B$7/10*MIN(13,10)</f>
        <v/>
      </c>
    </row>
    <row r="18">
      <c r="A18" s="13" t="n">
        <v>14</v>
      </c>
      <c r="B18" s="14">
        <f>'1. Hypothèses'!$B$17*(1+'1. Hypothèses'!$B$23)^(14-1)</f>
        <v/>
      </c>
      <c r="C18" s="14">
        <f>B18*(1-'1. Hypothèses'!$B$18)</f>
        <v/>
      </c>
      <c r="D18" s="14">
        <f>'1. Hypothèses'!$B$19+'1. Hypothèses'!$B$20+'1. Hypothèses'!$B$21+C18*'1. Hypothèses'!$B$22</f>
        <v/>
      </c>
      <c r="E18" s="14">
        <f>-CUMIPMT('1. Hypothèses'!$B$11/12,'1. Hypothèses'!$B$12*12,'1. Hypothèses'!$B$10,(14-1)*12+1,14*12,0)</f>
        <v/>
      </c>
      <c r="F18" s="14">
        <f>('1. Hypothèses'!$B$5+'1. Hypothèses'!$B$6)*(1-0.15)/30</f>
        <v/>
      </c>
      <c r="G18" s="14" t="n">
        <v>0</v>
      </c>
      <c r="H18" s="14">
        <f>C18-D18-E18-F18-G18</f>
        <v/>
      </c>
      <c r="I18" s="14">
        <f>IF(H18&lt;=0,0,IF(H18&lt;=42500,H18*'1. Hypothèses'!$B$28,42500*'1. Hypothèses'!$B$28+(H18-42500)*'1. Hypothèses'!$B$29))</f>
        <v/>
      </c>
      <c r="J18" s="14">
        <f>PMT('1. Hypothèses'!$B$11/12,'1. Hypothèses'!$B$12*12,-'1. Hypothèses'!$B$10)*12</f>
        <v/>
      </c>
      <c r="K18" s="14">
        <f>C18-D18-J18-I18</f>
        <v/>
      </c>
      <c r="L18" s="14">
        <f>-CUMPRINC('1. Hypothèses'!$B$11/12,'1. Hypothèses'!$B$12*12,'1. Hypothèses'!$B$10,1,14*12,0)</f>
        <v/>
      </c>
      <c r="M18" s="14">
        <f>('1. Hypothèses'!$B$5+'1. Hypothèses'!$B$6)-('1. Hypothèses'!$B$5+'1. Hypothèses'!$B$6)*(1-0.15)/30*MIN(14,30)+'1. Hypothèses'!$B$7-'1. Hypothèses'!$B$7/10*MIN(14,10)</f>
        <v/>
      </c>
    </row>
    <row r="19">
      <c r="A19" s="13" t="n">
        <v>15</v>
      </c>
      <c r="B19" s="7">
        <f>'1. Hypothèses'!$B$17*(1+'1. Hypothèses'!$B$23)^(15-1)</f>
        <v/>
      </c>
      <c r="C19" s="7">
        <f>B19*(1-'1. Hypothèses'!$B$18)</f>
        <v/>
      </c>
      <c r="D19" s="7">
        <f>'1. Hypothèses'!$B$19+'1. Hypothèses'!$B$20+'1. Hypothèses'!$B$21+C19*'1. Hypothèses'!$B$22</f>
        <v/>
      </c>
      <c r="E19" s="7">
        <f>-CUMIPMT('1. Hypothèses'!$B$11/12,'1. Hypothèses'!$B$12*12,'1. Hypothèses'!$B$10,(15-1)*12+1,15*12,0)</f>
        <v/>
      </c>
      <c r="F19" s="7">
        <f>('1. Hypothèses'!$B$5+'1. Hypothèses'!$B$6)*(1-0.15)/30</f>
        <v/>
      </c>
      <c r="G19" s="7" t="n">
        <v>0</v>
      </c>
      <c r="H19" s="7">
        <f>C19-D19-E19-F19-G19</f>
        <v/>
      </c>
      <c r="I19" s="7">
        <f>IF(H19&lt;=0,0,IF(H19&lt;=42500,H19*'1. Hypothèses'!$B$28,42500*'1. Hypothèses'!$B$28+(H19-42500)*'1. Hypothèses'!$B$29))</f>
        <v/>
      </c>
      <c r="J19" s="7">
        <f>PMT('1. Hypothèses'!$B$11/12,'1. Hypothèses'!$B$12*12,-'1. Hypothèses'!$B$10)*12</f>
        <v/>
      </c>
      <c r="K19" s="7">
        <f>C19-D19-J19-I19</f>
        <v/>
      </c>
      <c r="L19" s="7">
        <f>-CUMPRINC('1. Hypothèses'!$B$11/12,'1. Hypothèses'!$B$12*12,'1. Hypothèses'!$B$10,1,15*12,0)</f>
        <v/>
      </c>
      <c r="M19" s="7">
        <f>('1. Hypothèses'!$B$5+'1. Hypothèses'!$B$6)-('1. Hypothèses'!$B$5+'1. Hypothèses'!$B$6)*(1-0.15)/30*MIN(15,30)+'1. Hypothèses'!$B$7-'1. Hypothèses'!$B$7/10*MIN(15,10)</f>
        <v/>
      </c>
    </row>
    <row r="20">
      <c r="A20" s="13" t="n">
        <v>16</v>
      </c>
      <c r="B20" s="14">
        <f>'1. Hypothèses'!$B$17*(1+'1. Hypothèses'!$B$23)^(16-1)</f>
        <v/>
      </c>
      <c r="C20" s="14">
        <f>B20*(1-'1. Hypothèses'!$B$18)</f>
        <v/>
      </c>
      <c r="D20" s="14">
        <f>'1. Hypothèses'!$B$19+'1. Hypothèses'!$B$20+'1. Hypothèses'!$B$21+C20*'1. Hypothèses'!$B$22</f>
        <v/>
      </c>
      <c r="E20" s="14">
        <f>-CUMIPMT('1. Hypothèses'!$B$11/12,'1. Hypothèses'!$B$12*12,'1. Hypothèses'!$B$10,(16-1)*12+1,16*12,0)</f>
        <v/>
      </c>
      <c r="F20" s="14">
        <f>('1. Hypothèses'!$B$5+'1. Hypothèses'!$B$6)*(1-0.15)/30</f>
        <v/>
      </c>
      <c r="G20" s="14" t="n">
        <v>0</v>
      </c>
      <c r="H20" s="14">
        <f>C20-D20-E20-F20-G20</f>
        <v/>
      </c>
      <c r="I20" s="14">
        <f>IF(H20&lt;=0,0,IF(H20&lt;=42500,H20*'1. Hypothèses'!$B$28,42500*'1. Hypothèses'!$B$28+(H20-42500)*'1. Hypothèses'!$B$29))</f>
        <v/>
      </c>
      <c r="J20" s="14">
        <f>PMT('1. Hypothèses'!$B$11/12,'1. Hypothèses'!$B$12*12,-'1. Hypothèses'!$B$10)*12</f>
        <v/>
      </c>
      <c r="K20" s="14">
        <f>C20-D20-J20-I20</f>
        <v/>
      </c>
      <c r="L20" s="14">
        <f>-CUMPRINC('1. Hypothèses'!$B$11/12,'1. Hypothèses'!$B$12*12,'1. Hypothèses'!$B$10,1,16*12,0)</f>
        <v/>
      </c>
      <c r="M20" s="14">
        <f>('1. Hypothèses'!$B$5+'1. Hypothèses'!$B$6)-('1. Hypothèses'!$B$5+'1. Hypothèses'!$B$6)*(1-0.15)/30*MIN(16,30)+'1. Hypothèses'!$B$7-'1. Hypothèses'!$B$7/10*MIN(16,10)</f>
        <v/>
      </c>
    </row>
    <row r="21">
      <c r="A21" s="13" t="n">
        <v>17</v>
      </c>
      <c r="B21" s="7">
        <f>'1. Hypothèses'!$B$17*(1+'1. Hypothèses'!$B$23)^(17-1)</f>
        <v/>
      </c>
      <c r="C21" s="7">
        <f>B21*(1-'1. Hypothèses'!$B$18)</f>
        <v/>
      </c>
      <c r="D21" s="7">
        <f>'1. Hypothèses'!$B$19+'1. Hypothèses'!$B$20+'1. Hypothèses'!$B$21+C21*'1. Hypothèses'!$B$22</f>
        <v/>
      </c>
      <c r="E21" s="7">
        <f>-CUMIPMT('1. Hypothèses'!$B$11/12,'1. Hypothèses'!$B$12*12,'1. Hypothèses'!$B$10,(17-1)*12+1,17*12,0)</f>
        <v/>
      </c>
      <c r="F21" s="7">
        <f>('1. Hypothèses'!$B$5+'1. Hypothèses'!$B$6)*(1-0.15)/30</f>
        <v/>
      </c>
      <c r="G21" s="7" t="n">
        <v>0</v>
      </c>
      <c r="H21" s="7">
        <f>C21-D21-E21-F21-G21</f>
        <v/>
      </c>
      <c r="I21" s="7">
        <f>IF(H21&lt;=0,0,IF(H21&lt;=42500,H21*'1. Hypothèses'!$B$28,42500*'1. Hypothèses'!$B$28+(H21-42500)*'1. Hypothèses'!$B$29))</f>
        <v/>
      </c>
      <c r="J21" s="7">
        <f>PMT('1. Hypothèses'!$B$11/12,'1. Hypothèses'!$B$12*12,-'1. Hypothèses'!$B$10)*12</f>
        <v/>
      </c>
      <c r="K21" s="7">
        <f>C21-D21-J21-I21</f>
        <v/>
      </c>
      <c r="L21" s="7">
        <f>-CUMPRINC('1. Hypothèses'!$B$11/12,'1. Hypothèses'!$B$12*12,'1. Hypothèses'!$B$10,1,17*12,0)</f>
        <v/>
      </c>
      <c r="M21" s="7">
        <f>('1. Hypothèses'!$B$5+'1. Hypothèses'!$B$6)-('1. Hypothèses'!$B$5+'1. Hypothèses'!$B$6)*(1-0.15)/30*MIN(17,30)+'1. Hypothèses'!$B$7-'1. Hypothèses'!$B$7/10*MIN(17,10)</f>
        <v/>
      </c>
    </row>
    <row r="22">
      <c r="A22" s="13" t="n">
        <v>18</v>
      </c>
      <c r="B22" s="14">
        <f>'1. Hypothèses'!$B$17*(1+'1. Hypothèses'!$B$23)^(18-1)</f>
        <v/>
      </c>
      <c r="C22" s="14">
        <f>B22*(1-'1. Hypothèses'!$B$18)</f>
        <v/>
      </c>
      <c r="D22" s="14">
        <f>'1. Hypothèses'!$B$19+'1. Hypothèses'!$B$20+'1. Hypothèses'!$B$21+C22*'1. Hypothèses'!$B$22</f>
        <v/>
      </c>
      <c r="E22" s="14">
        <f>-CUMIPMT('1. Hypothèses'!$B$11/12,'1. Hypothèses'!$B$12*12,'1. Hypothèses'!$B$10,(18-1)*12+1,18*12,0)</f>
        <v/>
      </c>
      <c r="F22" s="14">
        <f>('1. Hypothèses'!$B$5+'1. Hypothèses'!$B$6)*(1-0.15)/30</f>
        <v/>
      </c>
      <c r="G22" s="14" t="n">
        <v>0</v>
      </c>
      <c r="H22" s="14">
        <f>C22-D22-E22-F22-G22</f>
        <v/>
      </c>
      <c r="I22" s="14">
        <f>IF(H22&lt;=0,0,IF(H22&lt;=42500,H22*'1. Hypothèses'!$B$28,42500*'1. Hypothèses'!$B$28+(H22-42500)*'1. Hypothèses'!$B$29))</f>
        <v/>
      </c>
      <c r="J22" s="14">
        <f>PMT('1. Hypothèses'!$B$11/12,'1. Hypothèses'!$B$12*12,-'1. Hypothèses'!$B$10)*12</f>
        <v/>
      </c>
      <c r="K22" s="14">
        <f>C22-D22-J22-I22</f>
        <v/>
      </c>
      <c r="L22" s="14">
        <f>-CUMPRINC('1. Hypothèses'!$B$11/12,'1. Hypothèses'!$B$12*12,'1. Hypothèses'!$B$10,1,18*12,0)</f>
        <v/>
      </c>
      <c r="M22" s="14">
        <f>('1. Hypothèses'!$B$5+'1. Hypothèses'!$B$6)-('1. Hypothèses'!$B$5+'1. Hypothèses'!$B$6)*(1-0.15)/30*MIN(18,30)+'1. Hypothèses'!$B$7-'1. Hypothèses'!$B$7/10*MIN(18,10)</f>
        <v/>
      </c>
    </row>
    <row r="23">
      <c r="A23" s="13" t="n">
        <v>19</v>
      </c>
      <c r="B23" s="7">
        <f>'1. Hypothèses'!$B$17*(1+'1. Hypothèses'!$B$23)^(19-1)</f>
        <v/>
      </c>
      <c r="C23" s="7">
        <f>B23*(1-'1. Hypothèses'!$B$18)</f>
        <v/>
      </c>
      <c r="D23" s="7">
        <f>'1. Hypothèses'!$B$19+'1. Hypothèses'!$B$20+'1. Hypothèses'!$B$21+C23*'1. Hypothèses'!$B$22</f>
        <v/>
      </c>
      <c r="E23" s="7">
        <f>-CUMIPMT('1. Hypothèses'!$B$11/12,'1. Hypothèses'!$B$12*12,'1. Hypothèses'!$B$10,(19-1)*12+1,19*12,0)</f>
        <v/>
      </c>
      <c r="F23" s="7">
        <f>('1. Hypothèses'!$B$5+'1. Hypothèses'!$B$6)*(1-0.15)/30</f>
        <v/>
      </c>
      <c r="G23" s="7" t="n">
        <v>0</v>
      </c>
      <c r="H23" s="7">
        <f>C23-D23-E23-F23-G23</f>
        <v/>
      </c>
      <c r="I23" s="7">
        <f>IF(H23&lt;=0,0,IF(H23&lt;=42500,H23*'1. Hypothèses'!$B$28,42500*'1. Hypothèses'!$B$28+(H23-42500)*'1. Hypothèses'!$B$29))</f>
        <v/>
      </c>
      <c r="J23" s="7">
        <f>PMT('1. Hypothèses'!$B$11/12,'1. Hypothèses'!$B$12*12,-'1. Hypothèses'!$B$10)*12</f>
        <v/>
      </c>
      <c r="K23" s="7">
        <f>C23-D23-J23-I23</f>
        <v/>
      </c>
      <c r="L23" s="7">
        <f>-CUMPRINC('1. Hypothèses'!$B$11/12,'1. Hypothèses'!$B$12*12,'1. Hypothèses'!$B$10,1,19*12,0)</f>
        <v/>
      </c>
      <c r="M23" s="7">
        <f>('1. Hypothèses'!$B$5+'1. Hypothèses'!$B$6)-('1. Hypothèses'!$B$5+'1. Hypothèses'!$B$6)*(1-0.15)/30*MIN(19,30)+'1. Hypothèses'!$B$7-'1. Hypothèses'!$B$7/10*MIN(19,10)</f>
        <v/>
      </c>
    </row>
    <row r="24">
      <c r="A24" s="13" t="n">
        <v>20</v>
      </c>
      <c r="B24" s="14">
        <f>'1. Hypothèses'!$B$17*(1+'1. Hypothèses'!$B$23)^(20-1)</f>
        <v/>
      </c>
      <c r="C24" s="14">
        <f>B24*(1-'1. Hypothèses'!$B$18)</f>
        <v/>
      </c>
      <c r="D24" s="14">
        <f>'1. Hypothèses'!$B$19+'1. Hypothèses'!$B$20+'1. Hypothèses'!$B$21+C24*'1. Hypothèses'!$B$22</f>
        <v/>
      </c>
      <c r="E24" s="14">
        <f>-CUMIPMT('1. Hypothèses'!$B$11/12,'1. Hypothèses'!$B$12*12,'1. Hypothèses'!$B$10,(20-1)*12+1,20*12,0)</f>
        <v/>
      </c>
      <c r="F24" s="14">
        <f>('1. Hypothèses'!$B$5+'1. Hypothèses'!$B$6)*(1-0.15)/30</f>
        <v/>
      </c>
      <c r="G24" s="14" t="n">
        <v>0</v>
      </c>
      <c r="H24" s="14">
        <f>C24-D24-E24-F24-G24</f>
        <v/>
      </c>
      <c r="I24" s="14">
        <f>IF(H24&lt;=0,0,IF(H24&lt;=42500,H24*'1. Hypothèses'!$B$28,42500*'1. Hypothèses'!$B$28+(H24-42500)*'1. Hypothèses'!$B$29))</f>
        <v/>
      </c>
      <c r="J24" s="14">
        <f>PMT('1. Hypothèses'!$B$11/12,'1. Hypothèses'!$B$12*12,-'1. Hypothèses'!$B$10)*12</f>
        <v/>
      </c>
      <c r="K24" s="14">
        <f>C24-D24-J24-I24</f>
        <v/>
      </c>
      <c r="L24" s="14">
        <f>-CUMPRINC('1. Hypothèses'!$B$11/12,'1. Hypothèses'!$B$12*12,'1. Hypothèses'!$B$10,1,20*12,0)</f>
        <v/>
      </c>
      <c r="M24" s="14">
        <f>('1. Hypothèses'!$B$5+'1. Hypothèses'!$B$6)-('1. Hypothèses'!$B$5+'1. Hypothèses'!$B$6)*(1-0.15)/30*MIN(20,30)+'1. Hypothèses'!$B$7-'1. Hypothèses'!$B$7/10*MIN(20,10)</f>
        <v/>
      </c>
    </row>
    <row r="26" ht="26" customHeight="1">
      <c r="A26" s="15" t="inlineStr">
        <is>
          <t>CUMULS 20 ANS + SORTIE</t>
        </is>
      </c>
    </row>
    <row r="27">
      <c r="A27" s="16" t="inlineStr">
        <is>
          <t>Loyers nets encaissés cumulés</t>
        </is>
      </c>
      <c r="L27" s="17">
        <f>SUM(C5:C24)</f>
        <v/>
      </c>
    </row>
    <row r="28">
      <c r="A28" s="16" t="inlineStr">
        <is>
          <t>IS total payé sur 20 ans</t>
        </is>
      </c>
      <c r="L28" s="17">
        <f>SUM(I5:I24)</f>
        <v/>
      </c>
    </row>
    <row r="29">
      <c r="A29" s="16" t="inlineStr">
        <is>
          <t>Cash-flow net cumulé 20 ans</t>
        </is>
      </c>
      <c r="L29" s="17">
        <f>SUM(K5:K24)</f>
        <v/>
      </c>
    </row>
    <row r="30">
      <c r="A30" s="16" t="inlineStr">
        <is>
          <t>Capital remboursé total</t>
        </is>
      </c>
      <c r="L30" s="17">
        <f>-CUMPRINC('1. Hypothèses'!$B$11/12,'1. Hypothèses'!$B$12*12,'1. Hypothèses'!$B$10,1,20*12,0)</f>
        <v/>
      </c>
    </row>
    <row r="31">
      <c r="A31" s="16" t="inlineStr">
        <is>
          <t>Valeur de revente brute</t>
        </is>
      </c>
      <c r="L31" s="17">
        <f>'1. Hypothèses'!$B$33</f>
        <v/>
      </c>
    </row>
    <row r="32">
      <c r="A32" s="16" t="inlineStr">
        <is>
          <t>Valeur nette comptable à 20 ans</t>
        </is>
      </c>
      <c r="L32" s="17">
        <f>M24</f>
        <v/>
      </c>
    </row>
    <row r="33">
      <c r="A33" s="16" t="inlineStr">
        <is>
          <t>Plus-value comptable SCI IS = Prix vente - VNC</t>
        </is>
      </c>
      <c r="L33" s="17">
        <f>'1. Hypothèses'!$B$33-M24</f>
        <v/>
      </c>
    </row>
    <row r="34">
      <c r="A34" s="16" t="inlineStr">
        <is>
          <t>IS sur plus-value (taux 25 %)</t>
        </is>
      </c>
      <c r="L34" s="17">
        <f>L33*0.25</f>
        <v/>
      </c>
    </row>
    <row r="35">
      <c r="A35" s="16" t="inlineStr">
        <is>
          <t>Dividende net après IS (PV) puis flat tax 30 %</t>
        </is>
      </c>
      <c r="L35" s="17">
        <f>(L31*(1-'1. Hypothèses'!$B$34)-L34)*(1-'1. Hypothèses'!$B$30)</f>
        <v/>
      </c>
    </row>
    <row r="36">
      <c r="A36" s="16" t="inlineStr">
        <is>
          <t>Patrimoine net final SCI IS (dividende + cash-flow cumulé)</t>
        </is>
      </c>
      <c r="L36" s="18">
        <f>L35+L29</f>
        <v/>
      </c>
    </row>
  </sheetData>
  <mergeCells count="13">
    <mergeCell ref="A34:K34"/>
    <mergeCell ref="A35:K35"/>
    <mergeCell ref="A1:M1"/>
    <mergeCell ref="A30:K30"/>
    <mergeCell ref="A29:K29"/>
    <mergeCell ref="A26:D26"/>
    <mergeCell ref="A33:K33"/>
    <mergeCell ref="A28:K28"/>
    <mergeCell ref="A32:K32"/>
    <mergeCell ref="A36:K36"/>
    <mergeCell ref="A2:M2"/>
    <mergeCell ref="A27:K27"/>
    <mergeCell ref="A31:K3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6"/>
  <sheetViews>
    <sheetView showGridLines="0" workbookViewId="0">
      <selection activeCell="A1" sqref="A1"/>
    </sheetView>
  </sheetViews>
  <sheetFormatPr baseColWidth="8" defaultRowHeight="15"/>
  <cols>
    <col width="42" customWidth="1" min="1" max="1"/>
    <col width="18" customWidth="1" min="2" max="2"/>
    <col width="18" customWidth="1" min="3" max="3"/>
    <col width="18" customWidth="1" min="4" max="4"/>
    <col width="16" customWidth="1" min="5" max="5"/>
  </cols>
  <sheetData>
    <row r="1" ht="40" customHeight="1">
      <c r="A1" s="1" t="inlineStr">
        <is>
          <t>📊 COMPARATIF SYNTHÈSE — SCI IR vs SCI IS</t>
        </is>
      </c>
    </row>
    <row r="2" ht="22" customHeight="1">
      <c r="A2" s="2" t="inlineStr">
        <is>
          <t>Synthèse automatique — modifiez les hypothèses dans l'onglet 1 pour voir le résultat évoluer</t>
        </is>
      </c>
    </row>
    <row r="4" ht="30" customHeight="1">
      <c r="A4" s="12" t="inlineStr">
        <is>
          <t>Indicateur sur 20 ans</t>
        </is>
      </c>
      <c r="B4" s="12" t="inlineStr">
        <is>
          <t>SCI à l'IR</t>
        </is>
      </c>
      <c r="C4" s="12" t="inlineStr">
        <is>
          <t>SCI à l'IS</t>
        </is>
      </c>
      <c r="D4" s="12" t="inlineStr">
        <is>
          <t>Différence (IS - IR)</t>
        </is>
      </c>
      <c r="E4" s="12" t="inlineStr">
        <is>
          <t>Régime gagnant</t>
        </is>
      </c>
    </row>
    <row r="5">
      <c r="A5" s="16" t="inlineStr">
        <is>
          <t>Loyers nets cumulés encaissés</t>
        </is>
      </c>
      <c r="B5" s="7">
        <f>'2. SCI IR'!L27</f>
        <v/>
      </c>
      <c r="C5" s="7">
        <f>'3. SCI IS'!L27</f>
        <v/>
      </c>
      <c r="D5" s="19">
        <f>C5-B5</f>
        <v/>
      </c>
      <c r="E5" s="20">
        <f>IF(B5&gt;C5,"✓ IR","✓ IS")</f>
        <v/>
      </c>
    </row>
    <row r="6">
      <c r="A6" s="16" t="inlineStr">
        <is>
          <t>Total impôts payés (revenus)</t>
        </is>
      </c>
      <c r="B6" s="7">
        <f>'2. SCI IR'!L28</f>
        <v/>
      </c>
      <c r="C6" s="7">
        <f>'3. SCI IS'!L28</f>
        <v/>
      </c>
      <c r="D6" s="19">
        <f>C6-B6</f>
        <v/>
      </c>
      <c r="E6" s="20">
        <f>IF(B6&lt;C6,"✓ IR","✓ IS")</f>
        <v/>
      </c>
    </row>
    <row r="7">
      <c r="A7" s="16" t="inlineStr">
        <is>
          <t>Cash-flow net cumulé 20 ans</t>
        </is>
      </c>
      <c r="B7" s="7">
        <f>'2. SCI IR'!L29</f>
        <v/>
      </c>
      <c r="C7" s="7">
        <f>'3. SCI IS'!L29</f>
        <v/>
      </c>
      <c r="D7" s="19">
        <f>C7-B7</f>
        <v/>
      </c>
      <c r="E7" s="20">
        <f>IF(B7&gt;C7,"✓ IR","✓ IS")</f>
        <v/>
      </c>
    </row>
    <row r="8">
      <c r="A8" s="16" t="inlineStr">
        <is>
          <t>Capital remboursé total</t>
        </is>
      </c>
      <c r="B8" s="7">
        <f>'2. SCI IR'!L30</f>
        <v/>
      </c>
      <c r="C8" s="7">
        <f>'3. SCI IS'!L30</f>
        <v/>
      </c>
      <c r="D8" s="19">
        <f>C8-B8</f>
        <v/>
      </c>
      <c r="E8" s="20">
        <f>IF(B8&gt;C8,"✓ IR","✓ IS")</f>
        <v/>
      </c>
    </row>
    <row r="9">
      <c r="A9" s="16" t="inlineStr">
        <is>
          <t>Impôt sur plus-value de cession</t>
        </is>
      </c>
      <c r="B9" s="7">
        <f>'2. SCI IR'!L34</f>
        <v/>
      </c>
      <c r="C9" s="7">
        <f>'3. SCI IS'!L34</f>
        <v/>
      </c>
      <c r="D9" s="19">
        <f>C9-B9</f>
        <v/>
      </c>
      <c r="E9" s="20">
        <f>IF(B9&lt;C9,"✓ IR","✓ IS")</f>
        <v/>
      </c>
    </row>
    <row r="10">
      <c r="A10" s="16" t="inlineStr">
        <is>
          <t>Patrimoine net final (revente + cash-flow)</t>
        </is>
      </c>
      <c r="B10" s="7">
        <f>'2. SCI IR'!L35</f>
        <v/>
      </c>
      <c r="C10" s="7">
        <f>'3. SCI IS'!L36</f>
        <v/>
      </c>
      <c r="D10" s="19">
        <f>C10-B10</f>
        <v/>
      </c>
      <c r="E10" s="20">
        <f>IF(B10&gt;C10,"✓ IR","✓ IS")</f>
        <v/>
      </c>
    </row>
    <row r="13" ht="28" customHeight="1">
      <c r="A13" s="15" t="inlineStr">
        <is>
          <t>🎯 CONCLUSION (en patrimoine net final)</t>
        </is>
      </c>
    </row>
    <row r="14" ht="36" customHeight="1">
      <c r="A14" s="21">
        <f>IF(C10&gt;B10,"➜ La SCI à l'IS génère "&amp;TEXT(C10-B10,"#,##0")&amp;" € de patrimoine net en plus sur 20 ans","➜ La SCI à l'IR génère "&amp;TEXT(B10-C10,"#,##0")&amp;" € de patrimoine net en plus sur 20 ans")</f>
        <v/>
      </c>
    </row>
    <row r="17" ht="26" customHeight="1">
      <c r="A17" s="3" t="inlineStr">
        <is>
          <t>📚 RÈGLES DE BASE POUR CHOISIR</t>
        </is>
      </c>
    </row>
    <row r="18">
      <c r="A18" s="22" t="inlineStr">
        <is>
          <t>👉 La SCI à l'IR est généralement préférable si :</t>
        </is>
      </c>
    </row>
    <row r="19" ht="80" customHeight="1">
      <c r="A19" s="23" t="inlineStr">
        <is>
          <t>• Vous voulez percevoir directement les loyers nets pour votre train de vie
• Vous êtes dans une TMI faible (&lt; 30 %)
• Vous prévoyez de revendre rapidement (&lt; 10 ans) — pas d'impôt sur amortissements
• Vous voulez transmettre le bien (PV avec abattements progressifs)</t>
        </is>
      </c>
    </row>
    <row r="20">
      <c r="A20" s="22" t="inlineStr">
        <is>
          <t>👉 La SCI à l'IS est généralement préférable si :</t>
        </is>
      </c>
    </row>
    <row r="21" ht="80" customHeight="1">
      <c r="A21" s="23" t="inlineStr">
        <is>
          <t>• Vous voulez réinvestir les loyers (capitaliser dans la SCI)
• Vous êtes en TMI élevée (40-45 %)
• Vous projetez une détention longue (&gt; 15 ans)
• Vous voulez intégrer la SCI dans une holding patrimoniale
• Vous voulez optimiser la transmission via démembrement / donation</t>
        </is>
      </c>
    </row>
    <row r="22">
      <c r="A22" s="22" t="inlineStr">
        <is>
          <t>⚠️ ATTENTION — points de vigilance :</t>
        </is>
      </c>
    </row>
    <row r="23" ht="80" customHeight="1">
      <c r="A23" s="23" t="inlineStr">
        <is>
          <t>• Option IS = IRRÉVOCABLE (depuis 2019, possibilité d'option pour 5 ans, sinon définitive)
• En IS, la plus-value de cession porte sur la différence entre prix vente et VNC (très imposée)
• En IR, vous payez l'impôt CHAQUE ANNÉE même sans cash (pas d'amortissement)
• Choix dépend du contexte global : patrimoine, fiscalité personnelle, projet long terme</t>
        </is>
      </c>
    </row>
    <row r="25" ht="26" customHeight="1">
      <c r="A25" s="24" t="inlineStr">
        <is>
          <t>🎓 POUR ALLER PLUS LOIN — IOF Formation</t>
        </is>
      </c>
    </row>
    <row r="26" ht="70" customHeight="1">
      <c r="A26" s="25" t="inlineStr">
        <is>
          <t>Cette simulation reste un cadre. Pour structurer concrètement votre SCI/holding et optimiser sur votre situation réelle :
→ Formation Immobilier Mastery 360 (40 h Qualiopi, 700 € HT) : SCI IR vs IS, holding immobilière, amortissement, transmission
→ www.iof-formation.fr/immobilier-mastery.html</t>
        </is>
      </c>
    </row>
  </sheetData>
  <mergeCells count="13">
    <mergeCell ref="A21:E21"/>
    <mergeCell ref="A20:E20"/>
    <mergeCell ref="A26:E26"/>
    <mergeCell ref="A2:E2"/>
    <mergeCell ref="A25:E25"/>
    <mergeCell ref="A19:E19"/>
    <mergeCell ref="A1:E1"/>
    <mergeCell ref="A23:E23"/>
    <mergeCell ref="A13:E13"/>
    <mergeCell ref="A14:E14"/>
    <mergeCell ref="A22:E22"/>
    <mergeCell ref="A17:E17"/>
    <mergeCell ref="A18:E18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7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45" customWidth="1" min="2" max="2"/>
    <col width="12" customWidth="1" min="3" max="3"/>
    <col width="60" customWidth="1" min="4" max="4"/>
  </cols>
  <sheetData>
    <row r="1" ht="40" customHeight="1">
      <c r="A1" s="1" t="inlineStr">
        <is>
          <t>✅ CHECK-LIST HOLDING IMMOBILIÈRE — 10 POINTS CLÉS</t>
        </is>
      </c>
    </row>
    <row r="2" ht="22" customHeight="1">
      <c r="A2" s="2" t="inlineStr">
        <is>
          <t>Validez chaque point avant de créer votre holding immobilière (mère-fille avec SCI IS)</t>
        </is>
      </c>
    </row>
    <row r="4" ht="28" customHeight="1">
      <c r="A4" s="12" t="inlineStr">
        <is>
          <t>#</t>
        </is>
      </c>
      <c r="B4" s="12" t="inlineStr">
        <is>
          <t>Point clé</t>
        </is>
      </c>
      <c r="C4" s="12" t="inlineStr">
        <is>
          <t>Statut</t>
        </is>
      </c>
      <c r="D4" s="12" t="inlineStr">
        <is>
          <t>Notes / décision</t>
        </is>
      </c>
    </row>
    <row r="5" ht="60" customHeight="1">
      <c r="A5" s="20" t="n">
        <v>1</v>
      </c>
      <c r="B5" s="26" t="inlineStr">
        <is>
          <t>Bénéfices annuels remontables &gt; 80 k€ ?</t>
        </is>
      </c>
      <c r="C5" s="27" t="inlineStr">
        <is>
          <t>☐ À valider</t>
        </is>
      </c>
      <c r="D5" s="23" t="inlineStr">
        <is>
          <t>La holding mère-fille permet de remonter les dividendes à 5 % d'imposition (au lieu de flat tax 30 %). Pertinent dès 80-100 k€ de bénéfice annuel remontable.</t>
        </is>
      </c>
    </row>
    <row r="6" ht="60" customHeight="1">
      <c r="A6" s="20" t="n">
        <v>2</v>
      </c>
      <c r="B6" s="26" t="inlineStr">
        <is>
          <t>Détention longue (&gt; 10 ans) confirmée ?</t>
        </is>
      </c>
      <c r="C6" s="27" t="inlineStr">
        <is>
          <t>☐ À valider</t>
        </is>
      </c>
      <c r="D6" s="23" t="inlineStr">
        <is>
          <t>Le bénéfice fiscal IS s'amortit sur la durée. Si revente &lt; 10 ans, le régime IR peut être plus avantageux.</t>
        </is>
      </c>
    </row>
    <row r="7" ht="60" customHeight="1">
      <c r="A7" s="20" t="n">
        <v>3</v>
      </c>
      <c r="B7" s="26" t="inlineStr">
        <is>
          <t>Statut juridique de la holding choisi (SAS, SARL, SC) ?</t>
        </is>
      </c>
      <c r="C7" s="27" t="inlineStr">
        <is>
          <t>☐ À valider</t>
        </is>
      </c>
      <c r="D7" s="23" t="inlineStr">
        <is>
          <t>SAS la plus courante pour flexibilité gouvernance. SARL si gérant majoritaire TNS. SC si fiscalité IR souhaitée (rare).</t>
        </is>
      </c>
    </row>
    <row r="8" ht="60" customHeight="1">
      <c r="A8" s="20" t="n">
        <v>4</v>
      </c>
      <c r="B8" s="26" t="inlineStr">
        <is>
          <t>Régime mère-fille activable (95 %) ?</t>
        </is>
      </c>
      <c r="C8" s="27" t="inlineStr">
        <is>
          <t>☐ À valider</t>
        </is>
      </c>
      <c r="D8" s="23" t="inlineStr">
        <is>
          <t>La holding doit détenir au moins 5 % du capital de la SCI fille, durée détention 2 ans minimum, exonération 95 % des dividendes.</t>
        </is>
      </c>
    </row>
    <row r="9" ht="60" customHeight="1">
      <c r="A9" s="20" t="n">
        <v>5</v>
      </c>
      <c r="B9" s="26" t="inlineStr">
        <is>
          <t>Animation effective de la holding (services)</t>
        </is>
      </c>
      <c r="C9" s="27" t="inlineStr">
        <is>
          <t>☐ À valider</t>
        </is>
      </c>
      <c r="D9" s="23" t="inlineStr">
        <is>
          <t>Pour bénéficier du Pacte Dutreil : la holding doit être animatrice (services management, finance, RH facturés à la fille).</t>
        </is>
      </c>
    </row>
    <row r="10" ht="60" customHeight="1">
      <c r="A10" s="20" t="n">
        <v>6</v>
      </c>
      <c r="B10" s="26" t="inlineStr">
        <is>
          <t>Apport ou cession à la holding ?</t>
        </is>
      </c>
      <c r="C10" s="27" t="inlineStr">
        <is>
          <t>☐ À valider</t>
        </is>
      </c>
      <c r="D10" s="23" t="inlineStr">
        <is>
          <t>Apport en nature = pas de plus-value imposable (sursis art. 150-0 B). Cession = plus-value immédiate. Apport plus souvent privilégié.</t>
        </is>
      </c>
    </row>
    <row r="11" ht="60" customHeight="1">
      <c r="A11" s="20" t="n">
        <v>7</v>
      </c>
      <c r="B11" s="26" t="inlineStr">
        <is>
          <t>Capital social et associés définis ?</t>
        </is>
      </c>
      <c r="C11" s="27" t="inlineStr">
        <is>
          <t>☐ À valider</t>
        </is>
      </c>
      <c r="D11" s="23" t="inlineStr">
        <is>
          <t>Minimum 1 € pour SAS. Inclure conjoint et enfants si transmission anticipée (démembrement).</t>
        </is>
      </c>
    </row>
    <row r="12" ht="60" customHeight="1">
      <c r="A12" s="20" t="n">
        <v>8</v>
      </c>
      <c r="B12" s="26" t="inlineStr">
        <is>
          <t>Préparation comptabilité IS + obligations OEC ?</t>
        </is>
      </c>
      <c r="C12" s="27" t="inlineStr">
        <is>
          <t>☐ À valider</t>
        </is>
      </c>
      <c r="D12" s="23" t="inlineStr">
        <is>
          <t>La SCI IS nécessite une comptabilité d'engagement (bilan, compte de résultat, liasse fiscale). Cabinet d'expertise comptable obligatoire en pratique.</t>
        </is>
      </c>
    </row>
    <row r="13" ht="60" customHeight="1">
      <c r="A13" s="20" t="n">
        <v>9</v>
      </c>
      <c r="B13" s="26" t="inlineStr">
        <is>
          <t>Stratégie de réinvestissement définie ?</t>
        </is>
      </c>
      <c r="C13" s="27" t="inlineStr">
        <is>
          <t>☐ À valider</t>
        </is>
      </c>
      <c r="D13" s="23" t="inlineStr">
        <is>
          <t>Les dividendes remontés à la holding doivent être réinvestis (autres immeubles, parts de SCPI, private equity). Sinon, pas de bénéfice vs IR.</t>
        </is>
      </c>
    </row>
    <row r="14" ht="60" customHeight="1">
      <c r="A14" s="20" t="n">
        <v>10</v>
      </c>
      <c r="B14" s="26" t="inlineStr">
        <is>
          <t>Planning transmission anticipée (Dutreil) ?</t>
        </is>
      </c>
      <c r="C14" s="27" t="inlineStr">
        <is>
          <t>☐ À valider</t>
        </is>
      </c>
      <c r="D14" s="23" t="inlineStr">
        <is>
          <t>Si objectif transmission : engagement collectif 2 ans + individuel 4 ans + Dutreil = -75 % sur droits de mutation. À cadrer dès la création.</t>
        </is>
      </c>
    </row>
    <row r="16" ht="28" customHeight="1">
      <c r="A16" s="15" t="inlineStr">
        <is>
          <t>🎓 BESOIN D'AIDE POUR STRUCTURER VOTRE HOLDING ?</t>
        </is>
      </c>
    </row>
    <row r="17" ht="90" customHeight="1">
      <c r="A17" s="25" t="inlineStr">
        <is>
          <t>→ Formation Immobilier Mastery 360 (700 € HT, 40h Qualiopi, éligible OPCO)
→ www.iof-formation.fr/immobilier-mastery.html
Ou réservez un bilan 30 min offert avec Sébastien Isquierdo, expert-comptable diplômé :
→ www.iof-formation.fr/candidature-fire-360.html</t>
        </is>
      </c>
    </row>
  </sheetData>
  <mergeCells count="4">
    <mergeCell ref="A1:D1"/>
    <mergeCell ref="A16:D16"/>
    <mergeCell ref="A2:D2"/>
    <mergeCell ref="A17:D1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2026-06-27T16:51:27Z</dcterms:created>
  <dcterms:modified xmlns:dcterms="http://purl.org/dc/terms/" xmlns:xsi="http://www.w3.org/2001/XMLSchema-instance" xsi:type="dcterms:W3CDTF">2026-06-27T16:54:18Z</dcterms:modified>
</cp:coreProperties>
</file>