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·Calcul FIRE Number" sheetId="1" state="visible" r:id="rId3"/>
    <sheet name="2·Projection" sheetId="2" state="visible" r:id="rId4"/>
    <sheet name="3·Allocation" sheetId="3" state="visible" r:id="rId5"/>
    <sheet name="4·PER vs AV" sheetId="4" state="visible" r:id="rId6"/>
  </sheets>
  <definedNames>
    <definedName function="false" hidden="false" name="DEPENSES_ANNUELLES" vbProcedure="false">'1·Calcul FIRE Number'!$C$32</definedName>
    <definedName function="false" hidden="false" name="FIRE_NUMBER" vbProcedure="false">'1·Calcul FIRE Number'!$C$34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<sst xmlns="http://schemas.openxmlformats.org/spreadsheetml/2006/main" count="149" uniqueCount="139">
  <si>
    <t xml:space="preserve">IOF — Calculez votre FIRE Number</t>
  </si>
  <si>
    <t xml:space="preserve">Combien vous faut-il pour vivre 100% libre des contraintes professionnelles ?</t>
  </si>
  <si>
    <t xml:space="preserve">🟡 Cellules jaunes : à remplir   ·   🔵 Cellules vert d'eau : résultats calculés automatiquement   ·   ⚪ Cellules blanches : valeurs intermédiaires</t>
  </si>
  <si>
    <t xml:space="preserve">Étape 1 — Vos dépenses annuelles cibles (en couple ou en solo, vie après FIRE)</t>
  </si>
  <si>
    <t xml:space="preserve">Poste de dépense</t>
  </si>
  <si>
    <t xml:space="preserve">Montant mensuel (€)</t>
  </si>
  <si>
    <t xml:space="preserve">Total annuel (€)</t>
  </si>
  <si>
    <t xml:space="preserve">Notes / hypothèses</t>
  </si>
  <si>
    <t xml:space="preserve">Logement (loyer ou charges + taxe foncière)</t>
  </si>
  <si>
    <t xml:space="preserve">• Soyez réaliste : ce n'est PAS votre niveau de vie d'aujourd'hui, mais celui que vous souhaitez avoir une fois indépendant.
• Pensez à enlever les dépenses liées à votre activité pro (costume, déjeuners externes, déplacements pro non remboursés).
• Pour les voyages : si vous prévoyez 2 voyages/an à 3 000 € chacun, lissez sur 12 mois → 500 €/mois.
• La marge 10% absorbe les inflations et imprévus médicaux.</t>
  </si>
  <si>
    <t xml:space="preserve">Alimentation (courses + restaurants)</t>
  </si>
  <si>
    <t xml:space="preserve">Transport (carburant, assurance, entretien)</t>
  </si>
  <si>
    <t xml:space="preserve">Énergie (électricité, gaz, eau, internet)</t>
  </si>
  <si>
    <t xml:space="preserve">Santé (mutuelle, soins, sport)</t>
  </si>
  <si>
    <t xml:space="preserve">Loisirs &amp; voyages (lissé sur 12 mois)</t>
  </si>
  <si>
    <t xml:space="preserve">Vêtements &amp; équipement personnel</t>
  </si>
  <si>
    <t xml:space="preserve">Éducation enfants (si concerné)</t>
  </si>
  <si>
    <t xml:space="preserve">Assurances diverses (RC, dépendance)</t>
  </si>
  <si>
    <t xml:space="preserve">Marge sécurité / imprévus (10%)</t>
  </si>
  <si>
    <t xml:space="preserve">TOTAL DÉPENSES ANNUELLES</t>
  </si>
  <si>
    <t xml:space="preserve">Étape 2 — Choisissez votre variante FIRE</t>
  </si>
  <si>
    <t xml:space="preserve">Variante FIRE</t>
  </si>
  <si>
    <t xml:space="preserve">Taux retrait</t>
  </si>
  <si>
    <t xml:space="preserve">Multiplicateur</t>
  </si>
  <si>
    <t xml:space="preserve">Description</t>
  </si>
  <si>
    <t xml:space="preserve">Lean FIRE</t>
  </si>
  <si>
    <t xml:space="preserve">≈ 25 × dépenses · style de vie frugal, dépenses &lt; 30 k€/an</t>
  </si>
  <si>
    <t xml:space="preserve">Classic FIRE</t>
  </si>
  <si>
    <t xml:space="preserve">≈ 28 × dépenses · style de vie confortable, 30-60 k€/an</t>
  </si>
  <si>
    <t xml:space="preserve">Fat FIRE</t>
  </si>
  <si>
    <t xml:space="preserve">≈ 33 × dépenses · style de vie premium, &gt; 60 k€/an</t>
  </si>
  <si>
    <t xml:space="preserve">Coast FIRE</t>
  </si>
  <si>
    <t xml:space="preserve">Capital qui se développe seul sans nouvel apport jusqu'à 65 ans</t>
  </si>
  <si>
    <t xml:space="preserve">👉 Votre choix (taper Lean FIRE, Classic FIRE, Fat FIRE ou Coast FIRE)</t>
  </si>
  <si>
    <t xml:space="preserve">→ Taux retrait sécurisé associé</t>
  </si>
  <si>
    <t xml:space="preserve">Étape 3 — Votre FIRE Number</t>
  </si>
  <si>
    <t xml:space="preserve">Dépenses annuelles cibles</t>
  </si>
  <si>
    <t xml:space="preserve">Taux retrait sécurisé</t>
  </si>
  <si>
    <t xml:space="preserve">🎯 FIRE NUMBER (capital nécessaire)</t>
  </si>
  <si>
    <t xml:space="preserve">ℹ️ Le FIRE Number représente le capital total dont vous avez besoin pour pouvoir retirer chaque année 4% (ou 3,5% ou 3% selon la variante) sans jamais l'épuiser. Concrètement : si votre FIRE Number est 1 000 000 €, vous pouvez retirer 40 000 €/an indéfiniment.</t>
  </si>
  <si>
    <t xml:space="preserve">IOF — Projection de votre capital sur 30 ans</t>
  </si>
  <si>
    <t xml:space="preserve">Quand atteindrez-vous votre FIRE Number ? Combien faut-il épargner chaque mois ?</t>
  </si>
  <si>
    <t xml:space="preserve">Hypothèses (cellules jaunes modifiables)</t>
  </si>
  <si>
    <t xml:space="preserve">Objectif (depuis onglet 1)</t>
  </si>
  <si>
    <t xml:space="preserve">Âge actuel</t>
  </si>
  <si>
    <t xml:space="preserve">FIRE Number cible :</t>
  </si>
  <si>
    <t xml:space="preserve">Capital de départ (€)</t>
  </si>
  <si>
    <t xml:space="preserve">Dépenses annuelles cibles :</t>
  </si>
  <si>
    <t xml:space="preserve">Épargne mensuelle (€)</t>
  </si>
  <si>
    <t xml:space="preserve">Taux rendement annuel net (%)</t>
  </si>
  <si>
    <t xml:space="preserve">Inflation moyenne (%)</t>
  </si>
  <si>
    <t xml:space="preserve">Augmentation annuelle épargne (%)</t>
  </si>
  <si>
    <t xml:space="preserve">Projection annuelle sur 30 ans</t>
  </si>
  <si>
    <t xml:space="preserve">Année</t>
  </si>
  <si>
    <t xml:space="preserve">Âge</t>
  </si>
  <si>
    <t xml:space="preserve">Capital début (€)</t>
  </si>
  <si>
    <t xml:space="preserve">Versement annuel (€)</t>
  </si>
  <si>
    <t xml:space="preserve">Intérêts générés (€)</t>
  </si>
  <si>
    <t xml:space="preserve">Capital fin (€)</t>
  </si>
  <si>
    <t xml:space="preserve">% FIRE atteint</t>
  </si>
  <si>
    <t xml:space="preserve">Synthèse — Quand atteignez-vous votre FIRE Number ?</t>
  </si>
  <si>
    <t xml:space="preserve">Année d'atteinte FIRE :</t>
  </si>
  <si>
    <t xml:space="preserve">📌 Comment lire ce tableau :
• Le rendement annuel net (6% par défaut) est une hypothèse prudente pour un portefeuille diversifié (60% actions, 40% obligations + immobilier).
• La cellule MATCH cherche la 1ère année où votre capital dépasse votre FIRE Number.
• Modifiez l'épargne mensuelle ou le rendement pour voir l'impact sur l'année d'atteinte.
• Pour aller plus vite : augmentez l'épargne, sécurisez le rendement, ou réduisez vos dépenses cibles (onglet 1).</t>
  </si>
  <si>
    <t xml:space="preserve">Âge à l'atteinte FIRE :</t>
  </si>
  <si>
    <t xml:space="preserve">Capital à 30 ans :</t>
  </si>
  <si>
    <t xml:space="preserve">Total versé sur 30 ans :</t>
  </si>
  <si>
    <t xml:space="preserve">Total intérêts générés :</t>
  </si>
  <si>
    <t xml:space="preserve">IOF — Allocation patrimoniale FIRE 360</t>
  </si>
  <si>
    <t xml:space="preserve">Comment répartir votre patrimoine selon votre profil et l'horizon FIRE</t>
  </si>
  <si>
    <t xml:space="preserve">Votre allocation actuelle</t>
  </si>
  <si>
    <t xml:space="preserve">Allocations cibles FIRE 360 (par horizon)</t>
  </si>
  <si>
    <t xml:space="preserve">Classe d'actif</t>
  </si>
  <si>
    <t xml:space="preserve">Montant (€)</t>
  </si>
  <si>
    <t xml:space="preserve">% actuel</t>
  </si>
  <si>
    <t xml:space="preserve">Rendement attendu</t>
  </si>
  <si>
    <t xml:space="preserve">Horizon &lt; 10 ans</t>
  </si>
  <si>
    <t xml:space="preserve">Horizon &gt; 10 ans</t>
  </si>
  <si>
    <t xml:space="preserve">Livrets (LEP, LDDS, A)</t>
  </si>
  <si>
    <t xml:space="preserve">Liquidités sécurité (6 mois charges)</t>
  </si>
  <si>
    <t xml:space="preserve">5%</t>
  </si>
  <si>
    <t xml:space="preserve">3%</t>
  </si>
  <si>
    <t xml:space="preserve">Assurance-vie fonds €</t>
  </si>
  <si>
    <t xml:space="preserve">Fonds € / livrets garantis</t>
  </si>
  <si>
    <t xml:space="preserve">15%</t>
  </si>
  <si>
    <t xml:space="preserve">Assurance-vie UC (actions)</t>
  </si>
  <si>
    <t xml:space="preserve">Actions ETF World (CTO/PEA)</t>
  </si>
  <si>
    <t xml:space="preserve">35%</t>
  </si>
  <si>
    <t xml:space="preserve">50%</t>
  </si>
  <si>
    <t xml:space="preserve">PER (PERin / PER pro)</t>
  </si>
  <si>
    <t xml:space="preserve">PER (avantage fiscal)</t>
  </si>
  <si>
    <t xml:space="preserve">PEA (actions UE)</t>
  </si>
  <si>
    <t xml:space="preserve">Immobilier locatif (LMNP/SCI)</t>
  </si>
  <si>
    <t xml:space="preserve">20%</t>
  </si>
  <si>
    <t xml:space="preserve">CTO (ETF World)</t>
  </si>
  <si>
    <t xml:space="preserve">SCPI rendement</t>
  </si>
  <si>
    <t xml:space="preserve">SCPI / pierre-papier</t>
  </si>
  <si>
    <t xml:space="preserve">Actifs alternatifs (or, crypto)</t>
  </si>
  <si>
    <t xml:space="preserve">2%</t>
  </si>
  <si>
    <t xml:space="preserve">Immobilier locatif net</t>
  </si>
  <si>
    <t xml:space="preserve">Résidence principale (équity)</t>
  </si>
  <si>
    <t xml:space="preserve">Crypto / actifs alternatifs</t>
  </si>
  <si>
    <t xml:space="preserve">Liquidités (compte courant)</t>
  </si>
  <si>
    <t xml:space="preserve">TOTAL PATRIMOINE</t>
  </si>
  <si>
    <t xml:space="preserve">% du FIRE Number atteint</t>
  </si>
  <si>
    <t xml:space="preserve">Rendement annuel pondéré</t>
  </si>
  <si>
    <t xml:space="preserve">📌 Comment utiliser ces allocations cibles :
• Horizon &lt; 10 ans : vous prévoyez d'atteindre votre FIRE dans moins de 10 ans. Allocation plus défensive pour sécuriser les gains.
• Horizon &gt; 10 ans : vous avez encore 15-25 ans devant vous. Plus d'exposition actions = meilleure performance long terme.
• La règle de Bogle simplifiée : votre % en actions ≈ 110 - votre âge (ex: à 40 ans → 70% actions).
• La diversification immobilier locatif + ETF World = colonne vertébrale d'un patrimoine FIRE 360.
• Le PER fait sens si votre TMI ≥ 30% (gain fiscal annuel + capital bloqué jusqu'à la retraite ou achat RP).
→ Pour un diagnostic personnalisé : rdv calendly.com/sebastien-isquierdo/module-0-express</t>
  </si>
  <si>
    <t xml:space="preserve">IOF — PER vs Assurance-vie : quelle enveloppe choisir ?</t>
  </si>
  <si>
    <t xml:space="preserve">Comparateur chiffré sur 20 ans selon votre TMI</t>
  </si>
  <si>
    <t xml:space="preserve">Vos hypothèses</t>
  </si>
  <si>
    <t xml:space="preserve">• TMI = Tranche Marginale Imposition (0%, 11%, 30%, 41%, 45%)
• TMI à la sortie : souvent plus basse à la retraite (revenus pension &lt; salaire actif).
• PFU = 30% (12,8% IR + 17,2% PS). AV après 8 ans : 24,7% sur la part au-dessus de l'abattement.
• Abattement AV : 4 600 €/an pour célibataire, 9 200 €/an pour couple.</t>
  </si>
  <si>
    <t xml:space="preserve">Horizon d'investissement (années)</t>
  </si>
  <si>
    <t xml:space="preserve">Rendement annuel net (%)</t>
  </si>
  <si>
    <t xml:space="preserve">TMI aujourd'hui (%)</t>
  </si>
  <si>
    <t xml:space="preserve">TMI à la sortie (%)</t>
  </si>
  <si>
    <t xml:space="preserve">Taux PFU (Flat Tax) AV</t>
  </si>
  <si>
    <t xml:space="preserve">Abattement annuel AV après 8 ans (couple)</t>
  </si>
  <si>
    <t xml:space="preserve">Comparaison sur la durée</t>
  </si>
  <si>
    <t xml:space="preserve">Indicateur</t>
  </si>
  <si>
    <t xml:space="preserve">PER</t>
  </si>
  <si>
    <t xml:space="preserve">Assurance-vie</t>
  </si>
  <si>
    <t xml:space="preserve">Notes</t>
  </si>
  <si>
    <t xml:space="preserve">Versement annuel net réel</t>
  </si>
  <si>
    <t xml:space="preserve">PER : gain fiscal immédiat à l'entrée</t>
  </si>
  <si>
    <t xml:space="preserve">Capital brut au terme (avant impôts sortie)</t>
  </si>
  <si>
    <t xml:space="preserve">Même base de capitalisation</t>
  </si>
  <si>
    <t xml:space="preserve">Total versé cumulé</t>
  </si>
  <si>
    <t xml:space="preserve">Plus-value brute</t>
  </si>
  <si>
    <t xml:space="preserve">Économie fiscale à l'entrée (cumulée)</t>
  </si>
  <si>
    <t xml:space="preserve">PER : gain immédiat sur impôt</t>
  </si>
  <si>
    <t xml:space="preserve">Impôt à la sortie</t>
  </si>
  <si>
    <t xml:space="preserve">AV: 24,7% PV &gt;abattement; PER: TMI capital + PFU PV</t>
  </si>
  <si>
    <t xml:space="preserve">Capital NET disponible après sortie</t>
  </si>
  <si>
    <t xml:space="preserve">🏆 GAIN TOTAL (capital net + éco. fiscale entrée)</t>
  </si>
  <si>
    <t xml:space="preserve">Différentiel PER vs AV</t>
  </si>
  <si>
    <t xml:space="preserve">Recommandation IOF (selon votre TMI)</t>
  </si>
  <si>
    <t xml:space="preserve">PER — Avantages &amp; Limites</t>
  </si>
  <si>
    <t xml:space="preserve">Assurance-vie — Avantages &amp; Limites</t>
  </si>
  <si>
    <t xml:space="preserve">✅ Avantages PER :
• Économie fiscale immédiate (déduction du revenu imposable)
• Sortie en capital ou en rente à la retraite
• Déblocage anticipé pour achat résidence principale
❌ Limites PER :
• Capital bloqué jusqu'à la retraite (sauf RP)
• Fiscalité à la sortie sur le capital (TMI)
• Pas d'avantage si TMI 0% ou 11%</t>
  </si>
  <si>
    <t xml:space="preserve">✅ Avantages AV :
• Souplesse totale (rachats partiels possibles à tout moment)
• Abattement 4 600 €/an (9 200 € couple) après 8 ans
• Transmission hors succession (152 500 €/bénéficiaire avant 70 ans)
❌ Limites AV :
• Aucun avantage fiscal à l'entrée
• PFU de 30% si rachat avant 8 ans
• Frais d'arbitrage selon contrats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</si>
</sst>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"/>
    <numFmt numFmtId="166" formatCode="0.00%"/>
    <numFmt numFmtId="167" formatCode="0.0"/>
    <numFmt numFmtId="168" formatCode="@"/>
    <numFmt numFmtId="169" formatCode="#,##0&quot; €&quot;"/>
    <numFmt numFmtId="170" formatCode="0"/>
    <numFmt numFmtId="171" formatCode="0.0%"/>
    <numFmt numFmtId="172" formatCode="0&quot; ans&quot;"/>
    <numFmt numFmtId="173" formatCode="\+#,##0&quot; €&quot;;\-#,##0&quot; €&quot;;\-"/>
    <numFmt numFmtId="174" formatCode="\+0.0%;\-0.0%;\-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libri"/>
      <family val="0"/>
      <charset val="1"/>
    </font>
    <font>
      <i val="true"/>
      <sz val="11"/>
      <color rgb="FFC4A87A"/>
      <name val="Calibri"/>
      <family val="0"/>
      <charset val="1"/>
    </font>
    <font>
      <i val="true"/>
      <sz val="9"/>
      <color rgb="FF6E6E6E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060D11"/>
      <name val="Calibri"/>
      <family val="0"/>
      <charset val="1"/>
    </font>
    <font>
      <b val="true"/>
      <sz val="10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0D6E7A"/>
      <name val="Calibri"/>
      <family val="0"/>
      <charset val="1"/>
    </font>
    <font>
      <b val="true"/>
      <sz val="12"/>
      <color rgb="FF0D6E7A"/>
      <name val="Calibri"/>
      <family val="0"/>
      <charset val="1"/>
    </font>
    <font>
      <b val="true"/>
      <sz val="10"/>
      <color rgb="FF060D11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4"/>
      <color rgb="FFC4A87A"/>
      <name val="Calibri"/>
      <family val="0"/>
      <charset val="1"/>
    </font>
    <font>
      <b val="true"/>
      <sz val="10"/>
      <color rgb="FF0D6E7A"/>
      <name val="Calibri"/>
      <family val="0"/>
      <charset val="1"/>
    </font>
    <font>
      <b val="true"/>
      <sz val="10"/>
      <color rgb="FFC4A87A"/>
      <name val="Calibri"/>
      <family val="0"/>
      <charset val="1"/>
    </font>
    <font>
      <b val="true"/>
      <sz val="10"/>
      <color rgb="FF2E7D32"/>
      <name val="Calibri"/>
      <family val="0"/>
      <charset val="1"/>
    </font>
    <font>
      <b val="true"/>
      <sz val="10"/>
      <color rgb="FFB71C1C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60D11"/>
        <bgColor rgb="FF000000"/>
      </patternFill>
    </fill>
    <fill>
      <patternFill patternType="solid">
        <fgColor rgb="FF0D6E7A"/>
        <bgColor rgb="FF008080"/>
      </patternFill>
    </fill>
    <fill>
      <patternFill patternType="solid">
        <fgColor rgb="FFFFF7E6"/>
        <bgColor rgb="FFFFFFFF"/>
      </patternFill>
    </fill>
    <fill>
      <patternFill patternType="solid">
        <fgColor rgb="FFFFFFFF"/>
        <bgColor rgb="FFFFF7E6"/>
      </patternFill>
    </fill>
    <fill>
      <patternFill patternType="solid">
        <fgColor rgb="FFE8F4F5"/>
        <bgColor rgb="FFFFF7E6"/>
      </patternFill>
    </fill>
    <fill>
      <patternFill patternType="solid">
        <fgColor rgb="FFC4A87A"/>
        <bgColor rgb="FF99999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medium">
        <color rgb="FF0D6E7A"/>
      </left>
      <right style="medium">
        <color rgb="FF0D6E7A"/>
      </right>
      <top style="medium">
        <color rgb="FF0D6E7A"/>
      </top>
      <bottom style="medium">
        <color rgb="FF0D6E7A"/>
      </bottom>
      <diagonal/>
    </border>
    <border diagonalUp="false" diagonalDown="false">
      <left style="thin">
        <color rgb="FF999999"/>
      </left>
      <right/>
      <top style="thin">
        <color rgb="FF999999"/>
      </top>
      <bottom style="thin">
        <color rgb="FF999999"/>
      </bottom>
      <diagonal/>
    </border>
    <border diagonalUp="false" diagonalDown="false">
      <left style="medium">
        <color rgb="FF0D6E7A"/>
      </left>
      <right/>
      <top style="medium">
        <color rgb="FF0D6E7A"/>
      </top>
      <bottom style="medium">
        <color rgb="FF0D6E7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9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9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9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4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6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3" fillId="6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4" fillId="5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4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9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2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14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1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2" fontId="10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9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20" fillId="5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3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4" fontId="13" fillId="6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6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6E7A"/>
      <rgbColor rgb="FFC4A87A"/>
      <rgbColor rgb="FF808080"/>
      <rgbColor rgb="FF9999FF"/>
      <rgbColor rgb="FF993366"/>
      <rgbColor rgb="FFFFF7E6"/>
      <rgbColor rgb="FFE8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E6E"/>
      <rgbColor rgb="FF999999"/>
      <rgbColor rgb="FF1F3864"/>
      <rgbColor rgb="FF2E7D32"/>
      <rgbColor rgb="FF060D11"/>
      <rgbColor rgb="FF333300"/>
      <rgbColor rgb="FFB7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4" min="3" style="0" width="22"/>
    <col collapsed="false" customWidth="true" hidden="false" outlineLevel="0" max="5" min="5" style="0" width="2"/>
    <col collapsed="false" customWidth="true" hidden="false" outlineLevel="0" max="6" min="6" style="0" width="38"/>
    <col collapsed="false" customWidth="true" hidden="false" outlineLevel="0" max="7" min="7" style="0" width="22"/>
  </cols>
  <sheetData>
    <row r="2" customFormat="false" ht="36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21.75" hidden="false" customHeight="true" outlineLevel="0" collapsed="false">
      <c r="B3" s="2" t="s">
        <v>1</v>
      </c>
      <c r="C3" s="2"/>
      <c r="D3" s="2"/>
      <c r="E3" s="2"/>
      <c r="F3" s="2"/>
      <c r="G3" s="2"/>
    </row>
    <row r="5" customFormat="false" ht="21.75" hidden="false" customHeight="true" outlineLevel="0" collapsed="false">
      <c r="B5" s="3" t="s">
        <v>2</v>
      </c>
      <c r="C5" s="3"/>
      <c r="D5" s="3"/>
      <c r="E5" s="3"/>
      <c r="F5" s="3"/>
      <c r="G5" s="3"/>
    </row>
    <row r="7" customFormat="false" ht="24" hidden="false" customHeight="true" outlineLevel="0" collapsed="false">
      <c r="B7" s="4" t="s">
        <v>3</v>
      </c>
      <c r="C7" s="4"/>
      <c r="D7" s="4"/>
      <c r="E7" s="4"/>
      <c r="F7" s="4"/>
      <c r="G7" s="4"/>
    </row>
    <row r="8" customFormat="false" ht="15" hidden="false" customHeight="false" outlineLevel="0" collapsed="false">
      <c r="B8" s="5" t="s">
        <v>4</v>
      </c>
      <c r="C8" s="5" t="s">
        <v>5</v>
      </c>
      <c r="D8" s="5" t="s">
        <v>6</v>
      </c>
      <c r="F8" s="5" t="s">
        <v>7</v>
      </c>
    </row>
    <row r="9" customFormat="false" ht="15" hidden="false" customHeight="true" outlineLevel="0" collapsed="false">
      <c r="B9" s="6" t="s">
        <v>8</v>
      </c>
      <c r="C9" s="7" t="n">
        <v>1200</v>
      </c>
      <c r="D9" s="8" t="n">
        <f aca="false">C9*12</f>
        <v>14400</v>
      </c>
      <c r="F9" s="3" t="s">
        <v>9</v>
      </c>
      <c r="G9" s="3"/>
    </row>
    <row r="10" customFormat="false" ht="15" hidden="false" customHeight="false" outlineLevel="0" collapsed="false">
      <c r="B10" s="6" t="s">
        <v>10</v>
      </c>
      <c r="C10" s="7" t="n">
        <v>700</v>
      </c>
      <c r="D10" s="8" t="n">
        <f aca="false">C10*12</f>
        <v>8400</v>
      </c>
      <c r="F10" s="3"/>
      <c r="G10" s="3"/>
    </row>
    <row r="11" customFormat="false" ht="15" hidden="false" customHeight="false" outlineLevel="0" collapsed="false">
      <c r="B11" s="6" t="s">
        <v>11</v>
      </c>
      <c r="C11" s="7" t="n">
        <v>350</v>
      </c>
      <c r="D11" s="8" t="n">
        <f aca="false">C11*12</f>
        <v>4200</v>
      </c>
      <c r="F11" s="3"/>
      <c r="G11" s="3"/>
    </row>
    <row r="12" customFormat="false" ht="15" hidden="false" customHeight="false" outlineLevel="0" collapsed="false">
      <c r="B12" s="6" t="s">
        <v>12</v>
      </c>
      <c r="C12" s="7" t="n">
        <v>250</v>
      </c>
      <c r="D12" s="8" t="n">
        <f aca="false">C12*12</f>
        <v>3000</v>
      </c>
      <c r="F12" s="3"/>
      <c r="G12" s="3"/>
    </row>
    <row r="13" customFormat="false" ht="15" hidden="false" customHeight="false" outlineLevel="0" collapsed="false">
      <c r="B13" s="6" t="s">
        <v>13</v>
      </c>
      <c r="C13" s="7" t="n">
        <v>200</v>
      </c>
      <c r="D13" s="8" t="n">
        <f aca="false">C13*12</f>
        <v>2400</v>
      </c>
      <c r="F13" s="3"/>
      <c r="G13" s="3"/>
    </row>
    <row r="14" customFormat="false" ht="15" hidden="false" customHeight="false" outlineLevel="0" collapsed="false">
      <c r="B14" s="6" t="s">
        <v>14</v>
      </c>
      <c r="C14" s="7" t="n">
        <v>600</v>
      </c>
      <c r="D14" s="8" t="n">
        <f aca="false">C14*12</f>
        <v>7200</v>
      </c>
      <c r="F14" s="3"/>
      <c r="G14" s="3"/>
    </row>
    <row r="15" customFormat="false" ht="15" hidden="false" customHeight="false" outlineLevel="0" collapsed="false">
      <c r="B15" s="6" t="s">
        <v>15</v>
      </c>
      <c r="C15" s="7" t="n">
        <v>150</v>
      </c>
      <c r="D15" s="8" t="n">
        <f aca="false">C15*12</f>
        <v>1800</v>
      </c>
      <c r="F15" s="3"/>
      <c r="G15" s="3"/>
    </row>
    <row r="16" customFormat="false" ht="15" hidden="false" customHeight="false" outlineLevel="0" collapsed="false">
      <c r="B16" s="6" t="s">
        <v>16</v>
      </c>
      <c r="C16" s="7" t="n">
        <v>0</v>
      </c>
      <c r="D16" s="8" t="n">
        <f aca="false">C16*12</f>
        <v>0</v>
      </c>
      <c r="F16" s="3"/>
      <c r="G16" s="3"/>
    </row>
    <row r="17" customFormat="false" ht="15" hidden="false" customHeight="false" outlineLevel="0" collapsed="false">
      <c r="B17" s="6" t="s">
        <v>17</v>
      </c>
      <c r="C17" s="7" t="n">
        <v>100</v>
      </c>
      <c r="D17" s="8" t="n">
        <f aca="false">C17*12</f>
        <v>1200</v>
      </c>
      <c r="F17" s="3"/>
      <c r="G17" s="3"/>
    </row>
    <row r="18" customFormat="false" ht="15" hidden="false" customHeight="false" outlineLevel="0" collapsed="false">
      <c r="B18" s="6" t="s">
        <v>18</v>
      </c>
      <c r="C18" s="7" t="n">
        <v>0</v>
      </c>
      <c r="D18" s="8" t="n">
        <f aca="false">C18*12</f>
        <v>0</v>
      </c>
      <c r="F18" s="3"/>
      <c r="G18" s="3"/>
    </row>
    <row r="19" customFormat="false" ht="15" hidden="false" customHeight="false" outlineLevel="0" collapsed="false">
      <c r="B19" s="9" t="s">
        <v>19</v>
      </c>
      <c r="C19" s="10" t="n">
        <f aca="false">SUM(C9:C18)</f>
        <v>3550</v>
      </c>
      <c r="D19" s="11" t="n">
        <f aca="false">SUM(D9:D18)</f>
        <v>42600</v>
      </c>
    </row>
    <row r="21" customFormat="false" ht="24" hidden="false" customHeight="true" outlineLevel="0" collapsed="false">
      <c r="B21" s="4" t="s">
        <v>20</v>
      </c>
      <c r="C21" s="4"/>
      <c r="D21" s="4"/>
      <c r="E21" s="4"/>
      <c r="F21" s="4"/>
      <c r="G21" s="4"/>
    </row>
    <row r="22" customFormat="false" ht="15" hidden="false" customHeight="false" outlineLevel="0" collapsed="false">
      <c r="B22" s="5" t="s">
        <v>21</v>
      </c>
      <c r="C22" s="5" t="s">
        <v>22</v>
      </c>
      <c r="D22" s="5" t="s">
        <v>23</v>
      </c>
      <c r="F22" s="5" t="s">
        <v>24</v>
      </c>
    </row>
    <row r="23" customFormat="false" ht="15" hidden="false" customHeight="false" outlineLevel="0" collapsed="false">
      <c r="B23" s="12" t="s">
        <v>25</v>
      </c>
      <c r="C23" s="13" t="n">
        <v>0.04</v>
      </c>
      <c r="D23" s="14" t="n">
        <f aca="false">1/C23</f>
        <v>25</v>
      </c>
      <c r="F23" s="15" t="s">
        <v>26</v>
      </c>
      <c r="G23" s="15"/>
    </row>
    <row r="24" customFormat="false" ht="15" hidden="false" customHeight="false" outlineLevel="0" collapsed="false">
      <c r="B24" s="12" t="s">
        <v>27</v>
      </c>
      <c r="C24" s="13" t="n">
        <v>0.035</v>
      </c>
      <c r="D24" s="14" t="n">
        <f aca="false">1/C24</f>
        <v>28.5714285714286</v>
      </c>
      <c r="F24" s="15" t="s">
        <v>28</v>
      </c>
      <c r="G24" s="15"/>
    </row>
    <row r="25" customFormat="false" ht="15" hidden="false" customHeight="false" outlineLevel="0" collapsed="false">
      <c r="B25" s="12" t="s">
        <v>29</v>
      </c>
      <c r="C25" s="13" t="n">
        <v>0.03</v>
      </c>
      <c r="D25" s="14" t="n">
        <f aca="false">1/C25</f>
        <v>33.3333333333333</v>
      </c>
      <c r="F25" s="15" t="s">
        <v>30</v>
      </c>
      <c r="G25" s="15"/>
    </row>
    <row r="26" customFormat="false" ht="15" hidden="false" customHeight="false" outlineLevel="0" collapsed="false">
      <c r="B26" s="12" t="s">
        <v>31</v>
      </c>
      <c r="C26" s="13" t="n">
        <v>0.04</v>
      </c>
      <c r="D26" s="14" t="n">
        <f aca="false">1/C26</f>
        <v>25</v>
      </c>
      <c r="F26" s="15" t="s">
        <v>32</v>
      </c>
      <c r="G26" s="15"/>
    </row>
    <row r="28" customFormat="false" ht="15" hidden="false" customHeight="false" outlineLevel="0" collapsed="false">
      <c r="B28" s="12" t="s">
        <v>33</v>
      </c>
      <c r="C28" s="16" t="s">
        <v>27</v>
      </c>
    </row>
    <row r="29" customFormat="false" ht="15" hidden="false" customHeight="false" outlineLevel="0" collapsed="false">
      <c r="B29" s="6" t="s">
        <v>34</v>
      </c>
      <c r="C29" s="17" t="n">
        <f aca="false">VLOOKUP(C28,B23:C26,2,FALSE())</f>
        <v>0.035</v>
      </c>
    </row>
    <row r="31" customFormat="false" ht="24" hidden="false" customHeight="true" outlineLevel="0" collapsed="false">
      <c r="B31" s="18" t="s">
        <v>35</v>
      </c>
      <c r="C31" s="18"/>
      <c r="D31" s="18"/>
      <c r="E31" s="18"/>
      <c r="F31" s="18"/>
      <c r="G31" s="18"/>
    </row>
    <row r="32" customFormat="false" ht="15" hidden="false" customHeight="false" outlineLevel="0" collapsed="false">
      <c r="B32" s="12" t="s">
        <v>36</v>
      </c>
      <c r="C32" s="19" t="n">
        <f aca="false">D19</f>
        <v>42600</v>
      </c>
    </row>
    <row r="33" customFormat="false" ht="15" hidden="false" customHeight="false" outlineLevel="0" collapsed="false">
      <c r="B33" s="12" t="s">
        <v>37</v>
      </c>
      <c r="C33" s="17" t="n">
        <f aca="false">C29</f>
        <v>0.035</v>
      </c>
    </row>
    <row r="34" customFormat="false" ht="31.5" hidden="false" customHeight="true" outlineLevel="0" collapsed="false">
      <c r="B34" s="20" t="s">
        <v>38</v>
      </c>
      <c r="C34" s="21" t="n">
        <f aca="false">C32/C29</f>
        <v>1217142.85714286</v>
      </c>
    </row>
    <row r="36" customFormat="false" ht="37.5" hidden="false" customHeight="true" outlineLevel="0" collapsed="false">
      <c r="B36" s="3" t="s">
        <v>39</v>
      </c>
      <c r="C36" s="3"/>
      <c r="D36" s="3"/>
      <c r="E36" s="3"/>
      <c r="F36" s="3"/>
      <c r="G36" s="3"/>
    </row>
  </sheetData>
  <mergeCells count="12">
    <mergeCell ref="B2:G2"/>
    <mergeCell ref="B3:G3"/>
    <mergeCell ref="B5:G5"/>
    <mergeCell ref="B7:G7"/>
    <mergeCell ref="F9:G18"/>
    <mergeCell ref="B21:G21"/>
    <mergeCell ref="F23:G23"/>
    <mergeCell ref="F24:G24"/>
    <mergeCell ref="F25:G25"/>
    <mergeCell ref="F26:G26"/>
    <mergeCell ref="B31:G31"/>
    <mergeCell ref="B36:G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J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"/>
    <col collapsed="false" customWidth="true" hidden="false" outlineLevel="0" max="5" min="5" style="0" width="8"/>
    <col collapsed="false" customWidth="true" hidden="false" outlineLevel="0" max="9" min="6" style="0" width="16"/>
    <col collapsed="false" customWidth="true" hidden="false" outlineLevel="0" max="10" min="10" style="0" width="18"/>
  </cols>
  <sheetData>
    <row r="2" customFormat="false" ht="36" hidden="false" customHeight="true" outlineLevel="0" collapsed="false">
      <c r="B2" s="1" t="s">
        <v>40</v>
      </c>
      <c r="C2" s="1"/>
      <c r="D2" s="1"/>
      <c r="E2" s="1"/>
      <c r="F2" s="1"/>
      <c r="G2" s="1"/>
      <c r="H2" s="1"/>
      <c r="I2" s="1"/>
      <c r="J2" s="1"/>
    </row>
    <row r="3" customFormat="false" ht="21.75" hidden="false" customHeight="true" outlineLevel="0" collapsed="false">
      <c r="B3" s="2" t="s">
        <v>41</v>
      </c>
      <c r="C3" s="2"/>
      <c r="D3" s="2"/>
      <c r="E3" s="2"/>
      <c r="F3" s="2"/>
      <c r="G3" s="2"/>
      <c r="H3" s="2"/>
      <c r="I3" s="2"/>
      <c r="J3" s="2"/>
    </row>
    <row r="5" customFormat="false" ht="24" hidden="false" customHeight="true" outlineLevel="0" collapsed="false">
      <c r="B5" s="4" t="s">
        <v>42</v>
      </c>
      <c r="C5" s="4"/>
      <c r="E5" s="18" t="s">
        <v>43</v>
      </c>
      <c r="F5" s="18"/>
      <c r="G5" s="18"/>
      <c r="H5" s="18"/>
      <c r="I5" s="18"/>
      <c r="J5" s="18"/>
    </row>
    <row r="6" customFormat="false" ht="15" hidden="false" customHeight="false" outlineLevel="0" collapsed="false">
      <c r="B6" s="6" t="s">
        <v>44</v>
      </c>
      <c r="C6" s="22" t="n">
        <v>35</v>
      </c>
      <c r="E6" s="12" t="s">
        <v>45</v>
      </c>
      <c r="F6" s="23" t="n">
        <f aca="false">FIRE_NUMBER</f>
        <v>1217142.85714286</v>
      </c>
      <c r="G6" s="23"/>
      <c r="H6" s="23"/>
    </row>
    <row r="7" customFormat="false" ht="15" hidden="false" customHeight="false" outlineLevel="0" collapsed="false">
      <c r="B7" s="6" t="s">
        <v>46</v>
      </c>
      <c r="C7" s="24" t="n">
        <v>50000</v>
      </c>
      <c r="E7" s="6" t="s">
        <v>47</v>
      </c>
      <c r="F7" s="25" t="n">
        <f aca="false">DEPENSES_ANNUELLES</f>
        <v>42600</v>
      </c>
      <c r="G7" s="25"/>
      <c r="H7" s="25"/>
    </row>
    <row r="8" customFormat="false" ht="15" hidden="false" customHeight="false" outlineLevel="0" collapsed="false">
      <c r="B8" s="6" t="s">
        <v>48</v>
      </c>
      <c r="C8" s="24" t="n">
        <v>1500</v>
      </c>
    </row>
    <row r="9" customFormat="false" ht="15" hidden="false" customHeight="false" outlineLevel="0" collapsed="false">
      <c r="B9" s="6" t="s">
        <v>49</v>
      </c>
      <c r="C9" s="26" t="n">
        <v>0.06</v>
      </c>
    </row>
    <row r="10" customFormat="false" ht="15" hidden="false" customHeight="false" outlineLevel="0" collapsed="false">
      <c r="B10" s="6" t="s">
        <v>50</v>
      </c>
      <c r="C10" s="26" t="n">
        <v>0.02</v>
      </c>
    </row>
    <row r="11" customFormat="false" ht="15" hidden="false" customHeight="false" outlineLevel="0" collapsed="false">
      <c r="B11" s="6" t="s">
        <v>51</v>
      </c>
      <c r="C11" s="26" t="n">
        <v>0.02</v>
      </c>
    </row>
    <row r="13" customFormat="false" ht="24" hidden="false" customHeight="true" outlineLevel="0" collapsed="false">
      <c r="B13" s="4" t="s">
        <v>52</v>
      </c>
      <c r="C13" s="4"/>
      <c r="D13" s="4"/>
      <c r="E13" s="4"/>
      <c r="F13" s="4"/>
      <c r="G13" s="4"/>
      <c r="H13" s="4"/>
      <c r="I13" s="4"/>
      <c r="J13" s="4"/>
    </row>
    <row r="14" customFormat="false" ht="30" hidden="false" customHeight="true" outlineLevel="0" collapsed="false">
      <c r="B14" s="5" t="s">
        <v>53</v>
      </c>
      <c r="C14" s="5" t="s">
        <v>54</v>
      </c>
      <c r="E14" s="5" t="s">
        <v>55</v>
      </c>
      <c r="F14" s="5" t="s">
        <v>56</v>
      </c>
      <c r="G14" s="5" t="s">
        <v>57</v>
      </c>
      <c r="H14" s="5" t="s">
        <v>58</v>
      </c>
      <c r="I14" s="5" t="s">
        <v>59</v>
      </c>
    </row>
    <row r="15" customFormat="false" ht="15" hidden="false" customHeight="false" outlineLevel="0" collapsed="false">
      <c r="B15" s="27" t="n">
        <v>1</v>
      </c>
      <c r="C15" s="27" t="n">
        <f aca="false">$C$6+B15</f>
        <v>36</v>
      </c>
      <c r="E15" s="28" t="n">
        <f aca="false">$C$7</f>
        <v>50000</v>
      </c>
      <c r="F15" s="28" t="n">
        <f aca="false">$C$8*12*(1+$C$11)^(B15-1)</f>
        <v>18000</v>
      </c>
      <c r="G15" s="28" t="n">
        <f aca="false">(E15+F15/2)*$C$9</f>
        <v>3540</v>
      </c>
      <c r="H15" s="29" t="n">
        <f aca="false">E15+F15+G15</f>
        <v>71540</v>
      </c>
      <c r="I15" s="30" t="n">
        <f aca="false">IFERROR(H15/FIRE_NUMBER,0)</f>
        <v>0.0587769953051643</v>
      </c>
    </row>
    <row r="16" customFormat="false" ht="15" hidden="false" customHeight="false" outlineLevel="0" collapsed="false">
      <c r="B16" s="27" t="n">
        <v>2</v>
      </c>
      <c r="C16" s="27" t="n">
        <f aca="false">$C$6+B16</f>
        <v>37</v>
      </c>
      <c r="E16" s="28" t="n">
        <f aca="false">H15</f>
        <v>71540</v>
      </c>
      <c r="F16" s="28" t="n">
        <f aca="false">$C$8*12*(1+$C$11)^(B16-1)</f>
        <v>18360</v>
      </c>
      <c r="G16" s="28" t="n">
        <f aca="false">(E16+F16/2)*$C$9</f>
        <v>4843.2</v>
      </c>
      <c r="H16" s="29" t="n">
        <f aca="false">E16+F16+G16</f>
        <v>94743.2</v>
      </c>
      <c r="I16" s="30" t="n">
        <f aca="false">IFERROR(H16/FIRE_NUMBER,0)</f>
        <v>0.0778406572769953</v>
      </c>
    </row>
    <row r="17" customFormat="false" ht="15" hidden="false" customHeight="false" outlineLevel="0" collapsed="false">
      <c r="B17" s="27" t="n">
        <v>3</v>
      </c>
      <c r="C17" s="27" t="n">
        <f aca="false">$C$6+B17</f>
        <v>38</v>
      </c>
      <c r="E17" s="28" t="n">
        <f aca="false">H16</f>
        <v>94743.2</v>
      </c>
      <c r="F17" s="28" t="n">
        <f aca="false">$C$8*12*(1+$C$11)^(B17-1)</f>
        <v>18727.2</v>
      </c>
      <c r="G17" s="28" t="n">
        <f aca="false">(E17+F17/2)*$C$9</f>
        <v>6246.408</v>
      </c>
      <c r="H17" s="29" t="n">
        <f aca="false">E17+F17+G17</f>
        <v>119716.808</v>
      </c>
      <c r="I17" s="30" t="n">
        <f aca="false">IFERROR(H17/FIRE_NUMBER,0)</f>
        <v>0.0983588798122066</v>
      </c>
    </row>
    <row r="18" customFormat="false" ht="15" hidden="false" customHeight="false" outlineLevel="0" collapsed="false">
      <c r="B18" s="27" t="n">
        <v>4</v>
      </c>
      <c r="C18" s="27" t="n">
        <f aca="false">$C$6+B18</f>
        <v>39</v>
      </c>
      <c r="E18" s="28" t="n">
        <f aca="false">H17</f>
        <v>119716.808</v>
      </c>
      <c r="F18" s="28" t="n">
        <f aca="false">$C$8*12*(1+$C$11)^(B18-1)</f>
        <v>19101.744</v>
      </c>
      <c r="G18" s="28" t="n">
        <f aca="false">(E18+F18/2)*$C$9</f>
        <v>7756.0608</v>
      </c>
      <c r="H18" s="29" t="n">
        <f aca="false">E18+F18+G18</f>
        <v>146574.6128</v>
      </c>
      <c r="I18" s="30" t="n">
        <f aca="false">IFERROR(H18/FIRE_NUMBER,0)</f>
        <v>0.120425151361502</v>
      </c>
    </row>
    <row r="19" customFormat="false" ht="15" hidden="false" customHeight="false" outlineLevel="0" collapsed="false">
      <c r="B19" s="27" t="n">
        <v>5</v>
      </c>
      <c r="C19" s="27" t="n">
        <f aca="false">$C$6+B19</f>
        <v>40</v>
      </c>
      <c r="E19" s="28" t="n">
        <f aca="false">H18</f>
        <v>146574.6128</v>
      </c>
      <c r="F19" s="28" t="n">
        <f aca="false">$C$8*12*(1+$C$11)^(B19-1)</f>
        <v>19483.77888</v>
      </c>
      <c r="G19" s="28" t="n">
        <f aca="false">(E19+F19/2)*$C$9</f>
        <v>9378.9901344</v>
      </c>
      <c r="H19" s="29" t="n">
        <f aca="false">E19+F19+G19</f>
        <v>175437.3818144</v>
      </c>
      <c r="I19" s="30" t="n">
        <f aca="false">IFERROR(H19/FIRE_NUMBER,0)</f>
        <v>0.144138693978967</v>
      </c>
    </row>
    <row r="20" customFormat="false" ht="15" hidden="false" customHeight="false" outlineLevel="0" collapsed="false">
      <c r="B20" s="27" t="n">
        <v>6</v>
      </c>
      <c r="C20" s="27" t="n">
        <f aca="false">$C$6+B20</f>
        <v>41</v>
      </c>
      <c r="E20" s="28" t="n">
        <f aca="false">H19</f>
        <v>175437.3818144</v>
      </c>
      <c r="F20" s="28" t="n">
        <f aca="false">$C$8*12*(1+$C$11)^(B20-1)</f>
        <v>19873.4544576</v>
      </c>
      <c r="G20" s="28" t="n">
        <f aca="false">(E20+F20/2)*$C$9</f>
        <v>11122.446542592</v>
      </c>
      <c r="H20" s="29" t="n">
        <f aca="false">E20+F20+G20</f>
        <v>206433.282814592</v>
      </c>
      <c r="I20" s="30" t="n">
        <f aca="false">IFERROR(H20/FIRE_NUMBER,0)</f>
        <v>0.169604809824195</v>
      </c>
    </row>
    <row r="21" customFormat="false" ht="15" hidden="false" customHeight="false" outlineLevel="0" collapsed="false">
      <c r="B21" s="27" t="n">
        <v>7</v>
      </c>
      <c r="C21" s="27" t="n">
        <f aca="false">$C$6+B21</f>
        <v>42</v>
      </c>
      <c r="E21" s="28" t="n">
        <f aca="false">H20</f>
        <v>206433.282814592</v>
      </c>
      <c r="F21" s="28" t="n">
        <f aca="false">$C$8*12*(1+$C$11)^(B21-1)</f>
        <v>20270.923546752</v>
      </c>
      <c r="G21" s="28" t="n">
        <f aca="false">(E21+F21/2)*$C$9</f>
        <v>12994.1246752781</v>
      </c>
      <c r="H21" s="29" t="n">
        <f aca="false">E21+F21+G21</f>
        <v>239698.331036622</v>
      </c>
      <c r="I21" s="30" t="n">
        <f aca="false">IFERROR(H21/FIRE_NUMBER,0)</f>
        <v>0.196935248504267</v>
      </c>
    </row>
    <row r="22" customFormat="false" ht="15" hidden="false" customHeight="false" outlineLevel="0" collapsed="false">
      <c r="B22" s="27" t="n">
        <v>8</v>
      </c>
      <c r="C22" s="27" t="n">
        <f aca="false">$C$6+B22</f>
        <v>43</v>
      </c>
      <c r="E22" s="28" t="n">
        <f aca="false">H21</f>
        <v>239698.331036622</v>
      </c>
      <c r="F22" s="28" t="n">
        <f aca="false">$C$8*12*(1+$C$11)^(B22-1)</f>
        <v>20676.342017687</v>
      </c>
      <c r="G22" s="28" t="n">
        <f aca="false">(E22+F22/2)*$C$9</f>
        <v>15002.1901227279</v>
      </c>
      <c r="H22" s="29" t="n">
        <f aca="false">E22+F22+G22</f>
        <v>275376.863177037</v>
      </c>
      <c r="I22" s="30" t="n">
        <f aca="false">IFERROR(H22/FIRE_NUMBER,0)</f>
        <v>0.226248596506955</v>
      </c>
    </row>
    <row r="23" customFormat="false" ht="15" hidden="false" customHeight="false" outlineLevel="0" collapsed="false">
      <c r="B23" s="27" t="n">
        <v>9</v>
      </c>
      <c r="C23" s="27" t="n">
        <f aca="false">$C$6+B23</f>
        <v>44</v>
      </c>
      <c r="E23" s="28" t="n">
        <f aca="false">H22</f>
        <v>275376.863177037</v>
      </c>
      <c r="F23" s="28" t="n">
        <f aca="false">$C$8*12*(1+$C$11)^(B23-1)</f>
        <v>21089.8688580408</v>
      </c>
      <c r="G23" s="28" t="n">
        <f aca="false">(E23+F23/2)*$C$9</f>
        <v>17155.3078563634</v>
      </c>
      <c r="H23" s="29" t="n">
        <f aca="false">E23+F23+G23</f>
        <v>313622.039891441</v>
      </c>
      <c r="I23" s="30" t="n">
        <f aca="false">IFERROR(H23/FIRE_NUMBER,0)</f>
        <v>0.257670690051654</v>
      </c>
    </row>
    <row r="24" customFormat="false" ht="15" hidden="false" customHeight="false" outlineLevel="0" collapsed="false">
      <c r="B24" s="27" t="n">
        <v>10</v>
      </c>
      <c r="C24" s="27" t="n">
        <f aca="false">$C$6+B24</f>
        <v>45</v>
      </c>
      <c r="E24" s="28" t="n">
        <f aca="false">H23</f>
        <v>313622.039891441</v>
      </c>
      <c r="F24" s="28" t="n">
        <f aca="false">$C$8*12*(1+$C$11)^(B24-1)</f>
        <v>21511.6662352016</v>
      </c>
      <c r="G24" s="28" t="n">
        <f aca="false">(E24+F24/2)*$C$9</f>
        <v>19462.6723805425</v>
      </c>
      <c r="H24" s="29" t="n">
        <f aca="false">E24+F24+G24</f>
        <v>354596.378507185</v>
      </c>
      <c r="I24" s="30" t="n">
        <f aca="false">IFERROR(H24/FIRE_NUMBER,0)</f>
        <v>0.291335052764119</v>
      </c>
    </row>
    <row r="25" customFormat="false" ht="15" hidden="false" customHeight="false" outlineLevel="0" collapsed="false">
      <c r="B25" s="27" t="n">
        <v>11</v>
      </c>
      <c r="C25" s="27" t="n">
        <f aca="false">$C$6+B25</f>
        <v>46</v>
      </c>
      <c r="E25" s="28" t="n">
        <f aca="false">H24</f>
        <v>354596.378507185</v>
      </c>
      <c r="F25" s="28" t="n">
        <f aca="false">$C$8*12*(1+$C$11)^(B25-1)</f>
        <v>21941.8995599056</v>
      </c>
      <c r="G25" s="28" t="n">
        <f aca="false">(E25+F25/2)*$C$9</f>
        <v>21934.0396972283</v>
      </c>
      <c r="H25" s="29" t="n">
        <f aca="false">E25+F25+G25</f>
        <v>398472.317764319</v>
      </c>
      <c r="I25" s="30" t="n">
        <f aca="false">IFERROR(H25/FIRE_NUMBER,0)</f>
        <v>0.327383359665521</v>
      </c>
    </row>
    <row r="26" customFormat="false" ht="15" hidden="false" customHeight="false" outlineLevel="0" collapsed="false">
      <c r="B26" s="27" t="n">
        <v>12</v>
      </c>
      <c r="C26" s="27" t="n">
        <f aca="false">$C$6+B26</f>
        <v>47</v>
      </c>
      <c r="E26" s="28" t="n">
        <f aca="false">H25</f>
        <v>398472.317764319</v>
      </c>
      <c r="F26" s="28" t="n">
        <f aca="false">$C$8*12*(1+$C$11)^(B26-1)</f>
        <v>22380.7375511037</v>
      </c>
      <c r="G26" s="28" t="n">
        <f aca="false">(E26+F26/2)*$C$9</f>
        <v>24579.7611923923</v>
      </c>
      <c r="H26" s="29" t="n">
        <f aca="false">E26+F26+G26</f>
        <v>445432.816507815</v>
      </c>
      <c r="I26" s="30" t="n">
        <f aca="false">IFERROR(H26/FIRE_NUMBER,0)</f>
        <v>0.365965929055717</v>
      </c>
    </row>
    <row r="27" customFormat="false" ht="15" hidden="false" customHeight="false" outlineLevel="0" collapsed="false">
      <c r="B27" s="27" t="n">
        <v>13</v>
      </c>
      <c r="C27" s="27" t="n">
        <f aca="false">$C$6+B27</f>
        <v>48</v>
      </c>
      <c r="E27" s="28" t="n">
        <f aca="false">H26</f>
        <v>445432.816507815</v>
      </c>
      <c r="F27" s="28" t="n">
        <f aca="false">$C$8*12*(1+$C$11)^(B27-1)</f>
        <v>22828.3523021258</v>
      </c>
      <c r="G27" s="28" t="n">
        <f aca="false">(E27+F27/2)*$C$9</f>
        <v>27410.8195595327</v>
      </c>
      <c r="H27" s="29" t="n">
        <f aca="false">E27+F27+G27</f>
        <v>495671.988369474</v>
      </c>
      <c r="I27" s="30" t="n">
        <f aca="false">IFERROR(H27/FIRE_NUMBER,0)</f>
        <v>0.40724224396553</v>
      </c>
    </row>
    <row r="28" customFormat="false" ht="15" hidden="false" customHeight="false" outlineLevel="0" collapsed="false">
      <c r="B28" s="27" t="n">
        <v>14</v>
      </c>
      <c r="C28" s="27" t="n">
        <f aca="false">$C$6+B28</f>
        <v>49</v>
      </c>
      <c r="E28" s="28" t="n">
        <f aca="false">H27</f>
        <v>495671.988369474</v>
      </c>
      <c r="F28" s="28" t="n">
        <f aca="false">$C$8*12*(1+$C$11)^(B28-1)</f>
        <v>23284.9193481683</v>
      </c>
      <c r="G28" s="28" t="n">
        <f aca="false">(E28+F28/2)*$C$9</f>
        <v>30438.8668826135</v>
      </c>
      <c r="H28" s="29" t="n">
        <f aca="false">E28+F28+G28</f>
        <v>549395.774600256</v>
      </c>
      <c r="I28" s="30" t="n">
        <f aca="false">IFERROR(H28/FIRE_NUMBER,0)</f>
        <v>0.451381504953262</v>
      </c>
    </row>
    <row r="29" customFormat="false" ht="15" hidden="false" customHeight="false" outlineLevel="0" collapsed="false">
      <c r="B29" s="27" t="n">
        <v>15</v>
      </c>
      <c r="C29" s="27" t="n">
        <f aca="false">$C$6+B29</f>
        <v>50</v>
      </c>
      <c r="E29" s="28" t="n">
        <f aca="false">H28</f>
        <v>549395.774600256</v>
      </c>
      <c r="F29" s="28" t="n">
        <f aca="false">$C$8*12*(1+$C$11)^(B29-1)</f>
        <v>23750.6177351317</v>
      </c>
      <c r="G29" s="28" t="n">
        <f aca="false">(E29+F29/2)*$C$9</f>
        <v>33676.2650080693</v>
      </c>
      <c r="H29" s="29" t="n">
        <f aca="false">E29+F29+G29</f>
        <v>606822.657343457</v>
      </c>
      <c r="I29" s="30" t="n">
        <f aca="false">IFERROR(H29/FIRE_NUMBER,0)</f>
        <v>0.498563216127253</v>
      </c>
    </row>
    <row r="30" customFormat="false" ht="15" hidden="false" customHeight="false" outlineLevel="0" collapsed="false">
      <c r="B30" s="27" t="n">
        <v>16</v>
      </c>
      <c r="C30" s="27" t="n">
        <f aca="false">$C$6+B30</f>
        <v>51</v>
      </c>
      <c r="E30" s="28" t="n">
        <f aca="false">H29</f>
        <v>606822.657343457</v>
      </c>
      <c r="F30" s="28" t="n">
        <f aca="false">$C$8*12*(1+$C$11)^(B30-1)</f>
        <v>24225.6300898343</v>
      </c>
      <c r="G30" s="28" t="n">
        <f aca="false">(E30+F30/2)*$C$9</f>
        <v>37136.1283433024</v>
      </c>
      <c r="H30" s="29" t="n">
        <f aca="false">E30+F30+G30</f>
        <v>668184.415776594</v>
      </c>
      <c r="I30" s="30" t="n">
        <f aca="false">IFERROR(H30/FIRE_NUMBER,0)</f>
        <v>0.54897780638922</v>
      </c>
    </row>
    <row r="31" customFormat="false" ht="15" hidden="false" customHeight="false" outlineLevel="0" collapsed="false">
      <c r="B31" s="27" t="n">
        <v>17</v>
      </c>
      <c r="C31" s="27" t="n">
        <f aca="false">$C$6+B31</f>
        <v>52</v>
      </c>
      <c r="E31" s="28" t="n">
        <f aca="false">H30</f>
        <v>668184.415776594</v>
      </c>
      <c r="F31" s="28" t="n">
        <f aca="false">$C$8*12*(1+$C$11)^(B31-1)</f>
        <v>24710.142691631</v>
      </c>
      <c r="G31" s="28" t="n">
        <f aca="false">(E31+F31/2)*$C$9</f>
        <v>40832.3692273445</v>
      </c>
      <c r="H31" s="29" t="n">
        <f aca="false">E31+F31+G31</f>
        <v>733726.927695569</v>
      </c>
      <c r="I31" s="30" t="n">
        <f aca="false">IFERROR(H31/FIRE_NUMBER,0)</f>
        <v>0.602827288012792</v>
      </c>
    </row>
    <row r="32" customFormat="false" ht="15" hidden="false" customHeight="false" outlineLevel="0" collapsed="false">
      <c r="B32" s="27" t="n">
        <v>18</v>
      </c>
      <c r="C32" s="27" t="n">
        <f aca="false">$C$6+B32</f>
        <v>53</v>
      </c>
      <c r="E32" s="28" t="n">
        <f aca="false">H31</f>
        <v>733726.927695569</v>
      </c>
      <c r="F32" s="28" t="n">
        <f aca="false">$C$8*12*(1+$C$11)^(B32-1)</f>
        <v>25204.3455454636</v>
      </c>
      <c r="G32" s="28" t="n">
        <f aca="false">(E32+F32/2)*$C$9</f>
        <v>44779.7460280981</v>
      </c>
      <c r="H32" s="29" t="n">
        <f aca="false">E32+F32+G32</f>
        <v>803711.019269131</v>
      </c>
      <c r="I32" s="30" t="n">
        <f aca="false">IFERROR(H32/FIRE_NUMBER,0)</f>
        <v>0.660325954798582</v>
      </c>
    </row>
    <row r="33" customFormat="false" ht="15" hidden="false" customHeight="false" outlineLevel="0" collapsed="false">
      <c r="B33" s="27" t="n">
        <v>19</v>
      </c>
      <c r="C33" s="27" t="n">
        <f aca="false">$C$6+B33</f>
        <v>54</v>
      </c>
      <c r="E33" s="28" t="n">
        <f aca="false">H32</f>
        <v>803711.019269131</v>
      </c>
      <c r="F33" s="28" t="n">
        <f aca="false">$C$8*12*(1+$C$11)^(B33-1)</f>
        <v>25708.4324563729</v>
      </c>
      <c r="G33" s="28" t="n">
        <f aca="false">(E33+F33/2)*$C$9</f>
        <v>48993.914129839</v>
      </c>
      <c r="H33" s="29" t="n">
        <f aca="false">E33+F33+G33</f>
        <v>878413.365855343</v>
      </c>
      <c r="I33" s="30" t="n">
        <f aca="false">IFERROR(H33/FIRE_NUMBER,0)</f>
        <v>0.72170112218162</v>
      </c>
    </row>
    <row r="34" customFormat="false" ht="15" hidden="false" customHeight="false" outlineLevel="0" collapsed="false">
      <c r="B34" s="27" t="n">
        <v>20</v>
      </c>
      <c r="C34" s="27" t="n">
        <f aca="false">$C$6+B34</f>
        <v>55</v>
      </c>
      <c r="E34" s="28" t="n">
        <f aca="false">H33</f>
        <v>878413.365855343</v>
      </c>
      <c r="F34" s="28" t="n">
        <f aca="false">$C$8*12*(1+$C$11)^(B34-1)</f>
        <v>26222.6011055004</v>
      </c>
      <c r="G34" s="28" t="n">
        <f aca="false">(E34+F34/2)*$C$9</f>
        <v>53491.4799844856</v>
      </c>
      <c r="H34" s="29" t="n">
        <f aca="false">E34+F34+G34</f>
        <v>958127.446945329</v>
      </c>
      <c r="I34" s="30" t="n">
        <f aca="false">IFERROR(H34/FIRE_NUMBER,0)</f>
        <v>0.787193911809542</v>
      </c>
    </row>
    <row r="35" customFormat="false" ht="15" hidden="false" customHeight="false" outlineLevel="0" collapsed="false">
      <c r="B35" s="27" t="n">
        <v>21</v>
      </c>
      <c r="C35" s="27" t="n">
        <f aca="false">$C$6+B35</f>
        <v>56</v>
      </c>
      <c r="E35" s="28" t="n">
        <f aca="false">H34</f>
        <v>958127.446945329</v>
      </c>
      <c r="F35" s="28" t="n">
        <f aca="false">$C$8*12*(1+$C$11)^(B35-1)</f>
        <v>26747.0531276104</v>
      </c>
      <c r="G35" s="28" t="n">
        <f aca="false">(E35+F35/2)*$C$9</f>
        <v>58290.058410548</v>
      </c>
      <c r="H35" s="29" t="n">
        <f aca="false">E35+F35+G35</f>
        <v>1043164.55848349</v>
      </c>
      <c r="I35" s="30" t="n">
        <f aca="false">IFERROR(H35/FIRE_NUMBER,0)</f>
        <v>0.857060083261081</v>
      </c>
    </row>
    <row r="36" customFormat="false" ht="15" hidden="false" customHeight="false" outlineLevel="0" collapsed="false">
      <c r="B36" s="27" t="n">
        <v>22</v>
      </c>
      <c r="C36" s="27" t="n">
        <f aca="false">$C$6+B36</f>
        <v>57</v>
      </c>
      <c r="E36" s="28" t="n">
        <f aca="false">H35</f>
        <v>1043164.55848349</v>
      </c>
      <c r="F36" s="28" t="n">
        <f aca="false">$C$8*12*(1+$C$11)^(B36-1)</f>
        <v>27281.9941901626</v>
      </c>
      <c r="G36" s="28" t="n">
        <f aca="false">(E36+F36/2)*$C$9</f>
        <v>63408.3333347141</v>
      </c>
      <c r="H36" s="29" t="n">
        <f aca="false">E36+F36+G36</f>
        <v>1133854.88600836</v>
      </c>
      <c r="I36" s="30" t="n">
        <f aca="false">IFERROR(H36/FIRE_NUMBER,0)</f>
        <v>0.931570915734571</v>
      </c>
    </row>
    <row r="37" customFormat="false" ht="15" hidden="false" customHeight="false" outlineLevel="0" collapsed="false">
      <c r="B37" s="27" t="n">
        <v>23</v>
      </c>
      <c r="C37" s="27" t="n">
        <f aca="false">$C$6+B37</f>
        <v>58</v>
      </c>
      <c r="E37" s="28" t="n">
        <f aca="false">H36</f>
        <v>1133854.88600836</v>
      </c>
      <c r="F37" s="28" t="n">
        <f aca="false">$C$8*12*(1+$C$11)^(B37-1)</f>
        <v>27827.6340739658</v>
      </c>
      <c r="G37" s="28" t="n">
        <f aca="false">(E37+F37/2)*$C$9</f>
        <v>68866.1221827208</v>
      </c>
      <c r="H37" s="29" t="n">
        <f aca="false">E37+F37+G37</f>
        <v>1230548.64226505</v>
      </c>
      <c r="I37" s="30" t="n">
        <f aca="false">IFERROR(H37/FIRE_NUMBER,0)</f>
        <v>1.01101414270603</v>
      </c>
    </row>
    <row r="38" customFormat="false" ht="15" hidden="false" customHeight="false" outlineLevel="0" collapsed="false">
      <c r="B38" s="27" t="n">
        <v>24</v>
      </c>
      <c r="C38" s="27" t="n">
        <f aca="false">$C$6+B38</f>
        <v>59</v>
      </c>
      <c r="E38" s="28" t="n">
        <f aca="false">H37</f>
        <v>1230548.64226505</v>
      </c>
      <c r="F38" s="28" t="n">
        <f aca="false">$C$8*12*(1+$C$11)^(B38-1)</f>
        <v>28384.1867554452</v>
      </c>
      <c r="G38" s="28" t="n">
        <f aca="false">(E38+F38/2)*$C$9</f>
        <v>74684.4441385664</v>
      </c>
      <c r="H38" s="29" t="n">
        <f aca="false">E38+F38+G38</f>
        <v>1333617.27315906</v>
      </c>
      <c r="I38" s="30" t="n">
        <f aca="false">IFERROR(H38/FIRE_NUMBER,0)</f>
        <v>1.09569494273632</v>
      </c>
    </row>
    <row r="39" customFormat="false" ht="15" hidden="false" customHeight="false" outlineLevel="0" collapsed="false">
      <c r="B39" s="27" t="n">
        <v>25</v>
      </c>
      <c r="C39" s="27" t="n">
        <f aca="false">$C$6+B39</f>
        <v>60</v>
      </c>
      <c r="E39" s="28" t="n">
        <f aca="false">H38</f>
        <v>1333617.27315906</v>
      </c>
      <c r="F39" s="28" t="n">
        <f aca="false">$C$8*12*(1+$C$11)^(B39-1)</f>
        <v>28951.8704905541</v>
      </c>
      <c r="G39" s="28" t="n">
        <f aca="false">(E39+F39/2)*$C$9</f>
        <v>80885.5925042604</v>
      </c>
      <c r="H39" s="29" t="n">
        <f aca="false">E39+F39+G39</f>
        <v>1443454.73615388</v>
      </c>
      <c r="I39" s="30" t="n">
        <f aca="false">IFERROR(H39/FIRE_NUMBER,0)</f>
        <v>1.18593698979779</v>
      </c>
    </row>
    <row r="40" customFormat="false" ht="15" hidden="false" customHeight="false" outlineLevel="0" collapsed="false">
      <c r="B40" s="27" t="n">
        <v>26</v>
      </c>
      <c r="C40" s="27" t="n">
        <f aca="false">$C$6+B40</f>
        <v>61</v>
      </c>
      <c r="E40" s="28" t="n">
        <f aca="false">H39</f>
        <v>1443454.73615388</v>
      </c>
      <c r="F40" s="28" t="n">
        <f aca="false">$C$8*12*(1+$C$11)^(B40-1)</f>
        <v>29530.9079003652</v>
      </c>
      <c r="G40" s="28" t="n">
        <f aca="false">(E40+F40/2)*$C$9</f>
        <v>87493.2114062435</v>
      </c>
      <c r="H40" s="29" t="n">
        <f aca="false">E40+F40+G40</f>
        <v>1560478.85546049</v>
      </c>
      <c r="I40" s="30" t="n">
        <f aca="false">IFERROR(H40/FIRE_NUMBER,0)</f>
        <v>1.28208356669289</v>
      </c>
    </row>
    <row r="41" customFormat="false" ht="15" hidden="false" customHeight="false" outlineLevel="0" collapsed="false">
      <c r="B41" s="27" t="n">
        <v>27</v>
      </c>
      <c r="C41" s="27" t="n">
        <f aca="false">$C$6+B41</f>
        <v>62</v>
      </c>
      <c r="E41" s="28" t="n">
        <f aca="false">H40</f>
        <v>1560478.85546049</v>
      </c>
      <c r="F41" s="28" t="n">
        <f aca="false">$C$8*12*(1+$C$11)^(B41-1)</f>
        <v>30121.5260583725</v>
      </c>
      <c r="G41" s="28" t="n">
        <f aca="false">(E41+F41/2)*$C$9</f>
        <v>94532.3771093803</v>
      </c>
      <c r="H41" s="29" t="n">
        <f aca="false">E41+F41+G41</f>
        <v>1685132.75862824</v>
      </c>
      <c r="I41" s="30" t="n">
        <f aca="false">IFERROR(H41/FIRE_NUMBER,0)</f>
        <v>1.38449874535184</v>
      </c>
    </row>
    <row r="42" customFormat="false" ht="15" hidden="false" customHeight="false" outlineLevel="0" collapsed="false">
      <c r="B42" s="27" t="n">
        <v>28</v>
      </c>
      <c r="C42" s="27" t="n">
        <f aca="false">$C$6+B42</f>
        <v>63</v>
      </c>
      <c r="E42" s="28" t="n">
        <f aca="false">H41</f>
        <v>1685132.75862824</v>
      </c>
      <c r="F42" s="28" t="n">
        <f aca="false">$C$8*12*(1+$C$11)^(B42-1)</f>
        <v>30723.9565795399</v>
      </c>
      <c r="G42" s="28" t="n">
        <f aca="false">(E42+F42/2)*$C$9</f>
        <v>102029.68421508</v>
      </c>
      <c r="H42" s="29" t="n">
        <f aca="false">E42+F42+G42</f>
        <v>1817886.39942286</v>
      </c>
      <c r="I42" s="30" t="n">
        <f aca="false">IFERROR(H42/FIRE_NUMBER,0)</f>
        <v>1.49356863802348</v>
      </c>
    </row>
    <row r="43" customFormat="false" ht="15" hidden="false" customHeight="false" outlineLevel="0" collapsed="false">
      <c r="B43" s="27" t="n">
        <v>29</v>
      </c>
      <c r="C43" s="27" t="n">
        <f aca="false">$C$6+B43</f>
        <v>64</v>
      </c>
      <c r="E43" s="28" t="n">
        <f aca="false">H42</f>
        <v>1817886.39942286</v>
      </c>
      <c r="F43" s="28" t="n">
        <f aca="false">$C$8*12*(1+$C$11)^(B43-1)</f>
        <v>31338.4357111307</v>
      </c>
      <c r="G43" s="28" t="n">
        <f aca="false">(E43+F43/2)*$C$9</f>
        <v>110013.337036705</v>
      </c>
      <c r="H43" s="29" t="n">
        <f aca="false">E43+F43+G43</f>
        <v>1959238.17217069</v>
      </c>
      <c r="I43" s="30" t="n">
        <f aca="false">IFERROR(H43/FIRE_NUMBER,0)</f>
        <v>1.60970272361442</v>
      </c>
    </row>
    <row r="44" customFormat="false" ht="15" hidden="false" customHeight="false" outlineLevel="0" collapsed="false">
      <c r="B44" s="27" t="n">
        <v>30</v>
      </c>
      <c r="C44" s="27" t="n">
        <f aca="false">$C$6+B44</f>
        <v>65</v>
      </c>
      <c r="E44" s="28" t="n">
        <f aca="false">H43</f>
        <v>1959238.17217069</v>
      </c>
      <c r="F44" s="28" t="n">
        <f aca="false">$C$8*12*(1+$C$11)^(B44-1)</f>
        <v>31965.2044253533</v>
      </c>
      <c r="G44" s="28" t="n">
        <f aca="false">(E44+F44/2)*$C$9</f>
        <v>118513.246463002</v>
      </c>
      <c r="H44" s="29" t="n">
        <f aca="false">E44+F44+G44</f>
        <v>2109716.62305905</v>
      </c>
      <c r="I44" s="30" t="n">
        <f aca="false">IFERROR(H44/FIRE_NUMBER,0)</f>
        <v>1.73333525368701</v>
      </c>
    </row>
    <row r="46" customFormat="false" ht="24" hidden="false" customHeight="true" outlineLevel="0" collapsed="false">
      <c r="B46" s="18" t="s">
        <v>60</v>
      </c>
      <c r="C46" s="18"/>
      <c r="D46" s="18"/>
      <c r="E46" s="18"/>
      <c r="F46" s="18"/>
      <c r="G46" s="18"/>
      <c r="H46" s="18"/>
      <c r="I46" s="18"/>
      <c r="J46" s="18"/>
    </row>
    <row r="47" customFormat="false" ht="15" hidden="false" customHeight="true" outlineLevel="0" collapsed="false">
      <c r="B47" s="12" t="s">
        <v>61</v>
      </c>
      <c r="C47" s="31" t="n">
        <f aca="false">IFERROR(MATCH(TRUE(),INDEX(H15:H44&gt;=FIRE_NUMBER,0),0),"+30 ans")</f>
        <v>23</v>
      </c>
      <c r="E47" s="3" t="s">
        <v>62</v>
      </c>
      <c r="F47" s="3"/>
      <c r="G47" s="3"/>
      <c r="H47" s="3"/>
      <c r="I47" s="3"/>
      <c r="J47" s="3"/>
    </row>
    <row r="48" customFormat="false" ht="15" hidden="false" customHeight="false" outlineLevel="0" collapsed="false">
      <c r="B48" s="12" t="s">
        <v>63</v>
      </c>
      <c r="C48" s="31" t="n">
        <f aca="false">IFERROR($C$6+C47,"")</f>
        <v>58</v>
      </c>
      <c r="E48" s="3"/>
      <c r="F48" s="3"/>
      <c r="G48" s="3"/>
      <c r="H48" s="3"/>
      <c r="I48" s="3"/>
      <c r="J48" s="3"/>
    </row>
    <row r="49" customFormat="false" ht="15" hidden="false" customHeight="false" outlineLevel="0" collapsed="false">
      <c r="B49" s="6" t="s">
        <v>64</v>
      </c>
      <c r="C49" s="29" t="n">
        <f aca="false">H44</f>
        <v>2109716.62305905</v>
      </c>
      <c r="E49" s="3"/>
      <c r="F49" s="3"/>
      <c r="G49" s="3"/>
      <c r="H49" s="3"/>
      <c r="I49" s="3"/>
      <c r="J49" s="3"/>
    </row>
    <row r="50" customFormat="false" ht="15" hidden="false" customHeight="false" outlineLevel="0" collapsed="false">
      <c r="B50" s="6" t="s">
        <v>65</v>
      </c>
      <c r="C50" s="28" t="n">
        <f aca="false">SUM(F15:F44)</f>
        <v>730225.425693019</v>
      </c>
      <c r="E50" s="3"/>
      <c r="F50" s="3"/>
      <c r="G50" s="3"/>
      <c r="H50" s="3"/>
      <c r="I50" s="3"/>
      <c r="J50" s="3"/>
    </row>
    <row r="51" customFormat="false" ht="15" hidden="false" customHeight="false" outlineLevel="0" collapsed="false">
      <c r="B51" s="6" t="s">
        <v>66</v>
      </c>
      <c r="C51" s="28" t="n">
        <f aca="false">SUM(G15:G44)</f>
        <v>1329491.19736603</v>
      </c>
      <c r="E51" s="3"/>
      <c r="F51" s="3"/>
      <c r="G51" s="3"/>
      <c r="H51" s="3"/>
      <c r="I51" s="3"/>
      <c r="J51" s="3"/>
    </row>
  </sheetData>
  <mergeCells count="9">
    <mergeCell ref="B2:J2"/>
    <mergeCell ref="B3:J3"/>
    <mergeCell ref="B5:C5"/>
    <mergeCell ref="E5:J5"/>
    <mergeCell ref="F6:H6"/>
    <mergeCell ref="F7:H7"/>
    <mergeCell ref="B13:J13"/>
    <mergeCell ref="B46:J46"/>
    <mergeCell ref="E47:J51"/>
  </mergeCells>
  <conditionalFormatting sqref="I15:I44">
    <cfRule type="colorScale" priority="2">
      <colorScale>
        <cfvo type="num" val="0"/>
        <cfvo type="num" val="0.5"/>
        <cfvo type="num" val="1"/>
        <color rgb="FFFFF4E5"/>
        <color rgb="FFF8E4B0"/>
        <color rgb="FF6BAE89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4" min="3" style="0" width="16"/>
    <col collapsed="false" customWidth="true" hidden="false" outlineLevel="0" max="5" min="5" style="0" width="18"/>
    <col collapsed="false" customWidth="true" hidden="false" outlineLevel="0" max="6" min="6" style="0" width="2"/>
    <col collapsed="false" customWidth="true" hidden="false" outlineLevel="0" max="7" min="7" style="0" width="30"/>
    <col collapsed="false" customWidth="true" hidden="false" outlineLevel="0" max="9" min="8" style="0" width="16"/>
  </cols>
  <sheetData>
    <row r="2" customFormat="false" ht="36" hidden="false" customHeight="true" outlineLevel="0" collapsed="false">
      <c r="B2" s="1" t="s">
        <v>67</v>
      </c>
      <c r="C2" s="1"/>
      <c r="D2" s="1"/>
      <c r="E2" s="1"/>
      <c r="F2" s="1"/>
      <c r="G2" s="1"/>
      <c r="H2" s="1"/>
      <c r="I2" s="1"/>
    </row>
    <row r="3" customFormat="false" ht="21.75" hidden="false" customHeight="true" outlineLevel="0" collapsed="false">
      <c r="B3" s="2" t="s">
        <v>68</v>
      </c>
      <c r="C3" s="2"/>
      <c r="D3" s="2"/>
      <c r="E3" s="2"/>
      <c r="F3" s="2"/>
      <c r="G3" s="2"/>
      <c r="H3" s="2"/>
      <c r="I3" s="2"/>
    </row>
    <row r="5" customFormat="false" ht="24" hidden="false" customHeight="true" outlineLevel="0" collapsed="false">
      <c r="B5" s="4" t="s">
        <v>69</v>
      </c>
      <c r="C5" s="4"/>
      <c r="D5" s="4"/>
      <c r="E5" s="4"/>
      <c r="G5" s="18" t="s">
        <v>70</v>
      </c>
      <c r="H5" s="18"/>
      <c r="I5" s="18"/>
    </row>
    <row r="6" customFormat="false" ht="15" hidden="false" customHeight="false" outlineLevel="0" collapsed="false">
      <c r="B6" s="5" t="s">
        <v>71</v>
      </c>
      <c r="C6" s="5" t="s">
        <v>72</v>
      </c>
      <c r="D6" s="5" t="s">
        <v>73</v>
      </c>
      <c r="E6" s="5" t="s">
        <v>74</v>
      </c>
      <c r="G6" s="5" t="s">
        <v>71</v>
      </c>
      <c r="H6" s="5" t="s">
        <v>75</v>
      </c>
      <c r="I6" s="5" t="s">
        <v>76</v>
      </c>
    </row>
    <row r="7" customFormat="false" ht="15" hidden="false" customHeight="false" outlineLevel="0" collapsed="false">
      <c r="B7" s="6" t="s">
        <v>77</v>
      </c>
      <c r="C7" s="24" t="n">
        <v>15000</v>
      </c>
      <c r="D7" s="30" t="n">
        <f aca="false">IFERROR(C7/C18,0)</f>
        <v>0.0487012987012987</v>
      </c>
      <c r="E7" s="26" t="n">
        <v>0.03</v>
      </c>
      <c r="G7" s="6" t="s">
        <v>78</v>
      </c>
      <c r="H7" s="32" t="s">
        <v>79</v>
      </c>
      <c r="I7" s="33" t="s">
        <v>80</v>
      </c>
    </row>
    <row r="8" customFormat="false" ht="15" hidden="false" customHeight="false" outlineLevel="0" collapsed="false">
      <c r="B8" s="6" t="s">
        <v>81</v>
      </c>
      <c r="C8" s="24" t="n">
        <v>30000</v>
      </c>
      <c r="D8" s="30" t="n">
        <f aca="false">IFERROR(C8/C18,0)</f>
        <v>0.0974025974025974</v>
      </c>
      <c r="E8" s="26" t="n">
        <v>0.025</v>
      </c>
      <c r="G8" s="6" t="s">
        <v>82</v>
      </c>
      <c r="H8" s="32" t="s">
        <v>83</v>
      </c>
      <c r="I8" s="33" t="s">
        <v>79</v>
      </c>
    </row>
    <row r="9" customFormat="false" ht="15" hidden="false" customHeight="false" outlineLevel="0" collapsed="false">
      <c r="B9" s="6" t="s">
        <v>84</v>
      </c>
      <c r="C9" s="24" t="n">
        <v>25000</v>
      </c>
      <c r="D9" s="30" t="n">
        <f aca="false">IFERROR(C9/C18,0)</f>
        <v>0.0811688311688312</v>
      </c>
      <c r="E9" s="26" t="n">
        <v>0.07</v>
      </c>
      <c r="G9" s="6" t="s">
        <v>85</v>
      </c>
      <c r="H9" s="32" t="s">
        <v>86</v>
      </c>
      <c r="I9" s="33" t="s">
        <v>87</v>
      </c>
    </row>
    <row r="10" customFormat="false" ht="15" hidden="false" customHeight="false" outlineLevel="0" collapsed="false">
      <c r="B10" s="6" t="s">
        <v>88</v>
      </c>
      <c r="C10" s="24" t="n">
        <v>20000</v>
      </c>
      <c r="D10" s="30" t="n">
        <f aca="false">IFERROR(C10/C18,0)</f>
        <v>0.0649350649350649</v>
      </c>
      <c r="E10" s="26" t="n">
        <v>0.06</v>
      </c>
      <c r="G10" s="6" t="s">
        <v>89</v>
      </c>
      <c r="H10" s="32" t="s">
        <v>83</v>
      </c>
      <c r="I10" s="33" t="s">
        <v>83</v>
      </c>
    </row>
    <row r="11" customFormat="false" ht="15" hidden="false" customHeight="false" outlineLevel="0" collapsed="false">
      <c r="B11" s="6" t="s">
        <v>90</v>
      </c>
      <c r="C11" s="24" t="n">
        <v>15000</v>
      </c>
      <c r="D11" s="30" t="n">
        <f aca="false">IFERROR(C11/C18,0)</f>
        <v>0.0487012987012987</v>
      </c>
      <c r="E11" s="26" t="n">
        <v>0.08</v>
      </c>
      <c r="G11" s="6" t="s">
        <v>91</v>
      </c>
      <c r="H11" s="32" t="s">
        <v>92</v>
      </c>
      <c r="I11" s="33" t="s">
        <v>92</v>
      </c>
    </row>
    <row r="12" customFormat="false" ht="15" hidden="false" customHeight="false" outlineLevel="0" collapsed="false">
      <c r="B12" s="6" t="s">
        <v>93</v>
      </c>
      <c r="C12" s="24" t="n">
        <v>10000</v>
      </c>
      <c r="D12" s="30" t="n">
        <f aca="false">IFERROR(C12/C18,0)</f>
        <v>0.0324675324675325</v>
      </c>
      <c r="E12" s="26" t="n">
        <v>0.08</v>
      </c>
      <c r="G12" s="6" t="s">
        <v>94</v>
      </c>
      <c r="H12" s="32" t="s">
        <v>79</v>
      </c>
      <c r="I12" s="33" t="s">
        <v>79</v>
      </c>
    </row>
    <row r="13" customFormat="false" ht="15" hidden="false" customHeight="false" outlineLevel="0" collapsed="false">
      <c r="B13" s="6" t="s">
        <v>95</v>
      </c>
      <c r="C13" s="24" t="n">
        <v>0</v>
      </c>
      <c r="D13" s="30" t="n">
        <f aca="false">IFERROR(C13/C18,0)</f>
        <v>0</v>
      </c>
      <c r="E13" s="26" t="n">
        <v>0.045</v>
      </c>
      <c r="G13" s="6" t="s">
        <v>96</v>
      </c>
      <c r="H13" s="32" t="s">
        <v>79</v>
      </c>
      <c r="I13" s="33" t="s">
        <v>97</v>
      </c>
    </row>
    <row r="14" customFormat="false" ht="15" hidden="false" customHeight="false" outlineLevel="0" collapsed="false">
      <c r="B14" s="6" t="s">
        <v>98</v>
      </c>
      <c r="C14" s="24" t="n">
        <v>80000</v>
      </c>
      <c r="D14" s="30" t="n">
        <f aca="false">IFERROR(C14/C18,0)</f>
        <v>0.25974025974026</v>
      </c>
      <c r="E14" s="26" t="n">
        <v>0.05</v>
      </c>
    </row>
    <row r="15" customFormat="false" ht="15" hidden="false" customHeight="false" outlineLevel="0" collapsed="false">
      <c r="B15" s="6" t="s">
        <v>99</v>
      </c>
      <c r="C15" s="24" t="n">
        <v>100000</v>
      </c>
      <c r="D15" s="30" t="n">
        <f aca="false">IFERROR(C15/C18,0)</f>
        <v>0.324675324675325</v>
      </c>
      <c r="E15" s="26" t="n">
        <v>0.02</v>
      </c>
    </row>
    <row r="16" customFormat="false" ht="15" hidden="false" customHeight="false" outlineLevel="0" collapsed="false">
      <c r="B16" s="6" t="s">
        <v>100</v>
      </c>
      <c r="C16" s="24" t="n">
        <v>5000</v>
      </c>
      <c r="D16" s="30" t="n">
        <f aca="false">IFERROR(C16/C18,0)</f>
        <v>0.0162337662337662</v>
      </c>
      <c r="E16" s="26" t="n">
        <v>0.1</v>
      </c>
    </row>
    <row r="17" customFormat="false" ht="15" hidden="false" customHeight="false" outlineLevel="0" collapsed="false">
      <c r="B17" s="6" t="s">
        <v>101</v>
      </c>
      <c r="C17" s="24" t="n">
        <v>8000</v>
      </c>
      <c r="D17" s="30" t="n">
        <f aca="false">IFERROR(C17/C18,0)</f>
        <v>0.025974025974026</v>
      </c>
      <c r="E17" s="26" t="n">
        <v>0.001</v>
      </c>
    </row>
    <row r="18" customFormat="false" ht="15" hidden="false" customHeight="false" outlineLevel="0" collapsed="false">
      <c r="B18" s="9" t="s">
        <v>102</v>
      </c>
      <c r="C18" s="34" t="n">
        <f aca="false">SUM(C7:C17)</f>
        <v>308000</v>
      </c>
      <c r="D18" s="35" t="n">
        <f aca="false">SUM(D7:D17)</f>
        <v>1</v>
      </c>
      <c r="E18" s="17" t="n">
        <f aca="false">SUMPRODUCT(C7:C17,E7:E17)/C18</f>
        <v>0.0410974025974026</v>
      </c>
    </row>
    <row r="20" customFormat="false" ht="15" hidden="false" customHeight="false" outlineLevel="0" collapsed="false">
      <c r="B20" s="12" t="s">
        <v>103</v>
      </c>
      <c r="C20" s="36" t="n">
        <f aca="false">IFERROR(C18/FIRE_NUMBER,0)</f>
        <v>0.253051643192488</v>
      </c>
    </row>
    <row r="21" customFormat="false" ht="15" hidden="false" customHeight="false" outlineLevel="0" collapsed="false">
      <c r="B21" s="12" t="s">
        <v>104</v>
      </c>
      <c r="C21" s="37" t="n">
        <f aca="false">E18</f>
        <v>0.0410974025974026</v>
      </c>
    </row>
    <row r="24" customFormat="false" ht="21.75" hidden="false" customHeight="true" outlineLevel="0" collapsed="false">
      <c r="B24" s="3" t="s">
        <v>105</v>
      </c>
      <c r="C24" s="3"/>
      <c r="D24" s="3"/>
      <c r="E24" s="3"/>
      <c r="F24" s="3"/>
      <c r="G24" s="3"/>
      <c r="H24" s="3"/>
      <c r="I24" s="3"/>
    </row>
    <row r="25" customFormat="false" ht="15" hidden="false" customHeight="false" outlineLevel="0" collapsed="false">
      <c r="B25" s="3"/>
      <c r="C25" s="3"/>
      <c r="D25" s="3"/>
      <c r="E25" s="3"/>
      <c r="F25" s="3"/>
      <c r="G25" s="3"/>
      <c r="H25" s="3"/>
      <c r="I25" s="3"/>
    </row>
    <row r="26" customFormat="false" ht="15" hidden="false" customHeight="false" outlineLevel="0" collapsed="false">
      <c r="B26" s="3"/>
      <c r="C26" s="3"/>
      <c r="D26" s="3"/>
      <c r="E26" s="3"/>
      <c r="F26" s="3"/>
      <c r="G26" s="3"/>
      <c r="H26" s="3"/>
      <c r="I26" s="3"/>
    </row>
    <row r="27" customFormat="false" ht="15" hidden="false" customHeight="false" outlineLevel="0" collapsed="false">
      <c r="B27" s="3"/>
      <c r="C27" s="3"/>
      <c r="D27" s="3"/>
      <c r="E27" s="3"/>
      <c r="F27" s="3"/>
      <c r="G27" s="3"/>
      <c r="H27" s="3"/>
      <c r="I27" s="3"/>
    </row>
    <row r="28" customFormat="false" ht="15" hidden="false" customHeight="false" outlineLevel="0" collapsed="false">
      <c r="B28" s="3"/>
      <c r="C28" s="3"/>
      <c r="D28" s="3"/>
      <c r="E28" s="3"/>
      <c r="F28" s="3"/>
      <c r="G28" s="3"/>
      <c r="H28" s="3"/>
      <c r="I28" s="3"/>
    </row>
    <row r="29" customFormat="false" ht="15" hidden="false" customHeight="false" outlineLevel="0" collapsed="false">
      <c r="B29" s="3"/>
      <c r="C29" s="3"/>
      <c r="D29" s="3"/>
      <c r="E29" s="3"/>
      <c r="F29" s="3"/>
      <c r="G29" s="3"/>
      <c r="H29" s="3"/>
      <c r="I29" s="3"/>
    </row>
    <row r="30" customFormat="false" ht="15" hidden="false" customHeight="false" outlineLevel="0" collapsed="false">
      <c r="B30" s="3"/>
      <c r="C30" s="3"/>
      <c r="D30" s="3"/>
      <c r="E30" s="3"/>
      <c r="F30" s="3"/>
      <c r="G30" s="3"/>
      <c r="H30" s="3"/>
      <c r="I30" s="3"/>
    </row>
  </sheetData>
  <mergeCells count="5">
    <mergeCell ref="B2:I2"/>
    <mergeCell ref="B3:I3"/>
    <mergeCell ref="B5:E5"/>
    <mergeCell ref="G5:I5"/>
    <mergeCell ref="B24:I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4" min="3" style="0" width="18"/>
    <col collapsed="false" customWidth="true" hidden="false" outlineLevel="0" max="5" min="5" style="0" width="2"/>
    <col collapsed="false" customWidth="true" hidden="false" outlineLevel="0" max="6" min="6" style="0" width="32"/>
  </cols>
  <sheetData>
    <row r="2" customFormat="false" ht="36" hidden="false" customHeight="true" outlineLevel="0" collapsed="false">
      <c r="B2" s="1" t="s">
        <v>106</v>
      </c>
      <c r="C2" s="1"/>
      <c r="D2" s="1"/>
      <c r="E2" s="1"/>
      <c r="F2" s="1"/>
    </row>
    <row r="3" customFormat="false" ht="21.75" hidden="false" customHeight="true" outlineLevel="0" collapsed="false">
      <c r="B3" s="2" t="s">
        <v>107</v>
      </c>
      <c r="C3" s="2"/>
      <c r="D3" s="2"/>
      <c r="E3" s="2"/>
      <c r="F3" s="2"/>
    </row>
    <row r="5" customFormat="false" ht="24" hidden="false" customHeight="true" outlineLevel="0" collapsed="false">
      <c r="B5" s="4" t="s">
        <v>108</v>
      </c>
      <c r="C5" s="4"/>
      <c r="D5" s="4"/>
      <c r="E5" s="4"/>
      <c r="F5" s="4"/>
    </row>
    <row r="6" customFormat="false" ht="15" hidden="false" customHeight="true" outlineLevel="0" collapsed="false">
      <c r="B6" s="6" t="s">
        <v>56</v>
      </c>
      <c r="C6" s="24" t="n">
        <v>5000</v>
      </c>
      <c r="F6" s="3" t="s">
        <v>109</v>
      </c>
    </row>
    <row r="7" customFormat="false" ht="15" hidden="false" customHeight="false" outlineLevel="0" collapsed="false">
      <c r="B7" s="6" t="s">
        <v>110</v>
      </c>
      <c r="C7" s="38" t="n">
        <v>20</v>
      </c>
      <c r="F7" s="3"/>
    </row>
    <row r="8" customFormat="false" ht="15" hidden="false" customHeight="false" outlineLevel="0" collapsed="false">
      <c r="B8" s="6" t="s">
        <v>111</v>
      </c>
      <c r="C8" s="26" t="n">
        <v>0.06</v>
      </c>
      <c r="F8" s="3"/>
    </row>
    <row r="9" customFormat="false" ht="15" hidden="false" customHeight="false" outlineLevel="0" collapsed="false">
      <c r="B9" s="6" t="s">
        <v>112</v>
      </c>
      <c r="C9" s="26" t="n">
        <v>0.41</v>
      </c>
      <c r="F9" s="3"/>
    </row>
    <row r="10" customFormat="false" ht="15" hidden="false" customHeight="false" outlineLevel="0" collapsed="false">
      <c r="B10" s="6" t="s">
        <v>113</v>
      </c>
      <c r="C10" s="26" t="n">
        <v>0.3</v>
      </c>
      <c r="F10" s="3"/>
    </row>
    <row r="11" customFormat="false" ht="15" hidden="false" customHeight="false" outlineLevel="0" collapsed="false">
      <c r="B11" s="6" t="s">
        <v>114</v>
      </c>
      <c r="C11" s="26" t="n">
        <v>0.3</v>
      </c>
      <c r="F11" s="3"/>
    </row>
    <row r="12" customFormat="false" ht="15" hidden="false" customHeight="false" outlineLevel="0" collapsed="false">
      <c r="B12" s="6" t="s">
        <v>115</v>
      </c>
      <c r="C12" s="24" t="n">
        <v>9200</v>
      </c>
      <c r="F12" s="3"/>
    </row>
    <row r="15" customFormat="false" ht="24" hidden="false" customHeight="true" outlineLevel="0" collapsed="false">
      <c r="B15" s="18" t="s">
        <v>116</v>
      </c>
      <c r="C15" s="18"/>
      <c r="D15" s="18"/>
      <c r="E15" s="18"/>
      <c r="F15" s="18"/>
    </row>
    <row r="16" customFormat="false" ht="15" hidden="false" customHeight="false" outlineLevel="0" collapsed="false">
      <c r="B16" s="5" t="s">
        <v>117</v>
      </c>
      <c r="C16" s="5" t="s">
        <v>118</v>
      </c>
      <c r="D16" s="5" t="s">
        <v>119</v>
      </c>
      <c r="F16" s="5" t="s">
        <v>120</v>
      </c>
    </row>
    <row r="17" customFormat="false" ht="15" hidden="false" customHeight="false" outlineLevel="0" collapsed="false">
      <c r="B17" s="12" t="s">
        <v>121</v>
      </c>
      <c r="C17" s="29" t="n">
        <f aca="false">C6*(1-C9)</f>
        <v>2950</v>
      </c>
      <c r="D17" s="29" t="n">
        <f aca="false">C6</f>
        <v>5000</v>
      </c>
      <c r="F17" s="6" t="s">
        <v>122</v>
      </c>
    </row>
    <row r="18" customFormat="false" ht="15" hidden="false" customHeight="false" outlineLevel="0" collapsed="false">
      <c r="B18" s="12" t="s">
        <v>123</v>
      </c>
      <c r="C18" s="29" t="n">
        <f aca="false">C6*((1+C8)^C7-1)/C8*(1+C8)</f>
        <v>194963.633378802</v>
      </c>
      <c r="D18" s="29" t="n">
        <f aca="false">C6*((1+C8)^C7-1)/C8*(1+C8)</f>
        <v>194963.633378802</v>
      </c>
      <c r="F18" s="6" t="s">
        <v>124</v>
      </c>
    </row>
    <row r="19" customFormat="false" ht="15" hidden="false" customHeight="false" outlineLevel="0" collapsed="false">
      <c r="B19" s="6" t="s">
        <v>125</v>
      </c>
      <c r="C19" s="28" t="n">
        <f aca="false">C6*C7</f>
        <v>100000</v>
      </c>
      <c r="D19" s="28" t="n">
        <f aca="false">C6*C7</f>
        <v>100000</v>
      </c>
    </row>
    <row r="20" customFormat="false" ht="15" hidden="false" customHeight="false" outlineLevel="0" collapsed="false">
      <c r="B20" s="6" t="s">
        <v>126</v>
      </c>
      <c r="C20" s="28" t="n">
        <f aca="false">C18-C19</f>
        <v>94963.6333788016</v>
      </c>
      <c r="D20" s="28" t="n">
        <f aca="false">D18-D19</f>
        <v>94963.6333788016</v>
      </c>
    </row>
    <row r="21" customFormat="false" ht="15" hidden="false" customHeight="false" outlineLevel="0" collapsed="false">
      <c r="B21" s="6" t="s">
        <v>127</v>
      </c>
      <c r="C21" s="39" t="n">
        <f aca="false">C6*C9*C7</f>
        <v>41000</v>
      </c>
      <c r="D21" s="28" t="n">
        <v>0</v>
      </c>
      <c r="F21" s="6" t="s">
        <v>128</v>
      </c>
    </row>
    <row r="22" customFormat="false" ht="15" hidden="false" customHeight="false" outlineLevel="0" collapsed="false">
      <c r="B22" s="6" t="s">
        <v>129</v>
      </c>
      <c r="C22" s="40" t="n">
        <f aca="false">C19*C10+C20*C11</f>
        <v>58489.0900136405</v>
      </c>
      <c r="D22" s="40" t="n">
        <f aca="false">MAX(0,D20-C12*MAX(0,C7-8))*0.247</f>
        <v>0</v>
      </c>
      <c r="F22" s="6" t="s">
        <v>130</v>
      </c>
    </row>
    <row r="23" customFormat="false" ht="15" hidden="false" customHeight="false" outlineLevel="0" collapsed="false">
      <c r="B23" s="9" t="s">
        <v>131</v>
      </c>
      <c r="C23" s="34" t="n">
        <f aca="false">C18-C22</f>
        <v>136474.543365161</v>
      </c>
      <c r="D23" s="34" t="n">
        <f aca="false">D18-D22</f>
        <v>194963.633378802</v>
      </c>
    </row>
    <row r="24" customFormat="false" ht="31.5" hidden="false" customHeight="true" outlineLevel="0" collapsed="false">
      <c r="B24" s="41" t="s">
        <v>132</v>
      </c>
      <c r="C24" s="21" t="n">
        <f aca="false">C23+C21</f>
        <v>177474.543365161</v>
      </c>
      <c r="D24" s="21" t="n">
        <f aca="false">D23</f>
        <v>194963.633378802</v>
      </c>
    </row>
    <row r="25" customFormat="false" ht="15" hidden="false" customHeight="false" outlineLevel="0" collapsed="false">
      <c r="B25" s="12" t="s">
        <v>133</v>
      </c>
      <c r="C25" s="42" t="n">
        <f aca="false">C24-D24</f>
        <v>-17489.0900136405</v>
      </c>
      <c r="D25" s="43" t="n">
        <f aca="false">IFERROR((C24-D24)/D24,0)</f>
        <v>-0.0897043705564325</v>
      </c>
    </row>
    <row r="27" customFormat="false" ht="24" hidden="false" customHeight="true" outlineLevel="0" collapsed="false">
      <c r="B27" s="18" t="s">
        <v>134</v>
      </c>
      <c r="C27" s="18"/>
      <c r="D27" s="18"/>
      <c r="E27" s="18"/>
      <c r="F27" s="18"/>
    </row>
    <row r="28" customFormat="false" ht="49.5" hidden="false" customHeight="true" outlineLevel="0" collapsed="false">
      <c r="B28" s="44" t="str">
        <f aca="false">IF(C9&gt;=0.41,"✅ PER fortement recommandé — votre TMI 41%+ rend l'économie fiscale très puissante. Privilégiez PER puis AV après plafond.",IF(C9&gt;=0.3,"✅ PER recommandé — bon ratio gain fiscal / souplesse. Combinez PER + AV (60/40).",IF(C9&gt;=0.11,"⚖️ Équilibré — privilégiez l'AV pour la souplesse (sortie possible avant retraite). PER uniquement si vous comptez débloquer pour achat RP.","❌ PER déconseillé — TMI 0% ou 11% : aucun avantage fiscal majeur. Privilégiez 100% AV pour conserver liquidité et fiscalité douce après 8 ans.")))</f>
        <v>✅ PER fortement recommandé — votre TMI 41%+ rend l'économie fiscale très puissante. Privilégiez PER puis AV après plafond.</v>
      </c>
      <c r="C28" s="44"/>
      <c r="D28" s="44"/>
      <c r="E28" s="44"/>
      <c r="F28" s="44"/>
    </row>
    <row r="30" customFormat="false" ht="24" hidden="false" customHeight="true" outlineLevel="0" collapsed="false">
      <c r="B30" s="4" t="s">
        <v>135</v>
      </c>
      <c r="C30" s="4"/>
      <c r="D30" s="4" t="s">
        <v>136</v>
      </c>
      <c r="E30" s="4"/>
      <c r="F30" s="4"/>
    </row>
    <row r="31" customFormat="false" ht="24.75" hidden="false" customHeight="true" outlineLevel="0" collapsed="false">
      <c r="B31" s="3" t="s">
        <v>137</v>
      </c>
      <c r="C31" s="3"/>
      <c r="D31" s="3" t="s">
        <v>138</v>
      </c>
      <c r="E31" s="3"/>
      <c r="F31" s="3"/>
    </row>
    <row r="32" customFormat="false" ht="15" hidden="false" customHeight="false" outlineLevel="0" collapsed="false">
      <c r="B32" s="3"/>
      <c r="C32" s="3"/>
      <c r="D32" s="3"/>
      <c r="E32" s="3"/>
      <c r="F32" s="3"/>
    </row>
    <row r="33" customFormat="false" ht="15" hidden="false" customHeight="false" outlineLevel="0" collapsed="false">
      <c r="B33" s="3"/>
      <c r="C33" s="3"/>
      <c r="D33" s="3"/>
      <c r="E33" s="3"/>
      <c r="F33" s="3"/>
    </row>
    <row r="34" customFormat="false" ht="15" hidden="false" customHeight="false" outlineLevel="0" collapsed="false">
      <c r="B34" s="3"/>
      <c r="C34" s="3"/>
      <c r="D34" s="3"/>
      <c r="E34" s="3"/>
      <c r="F34" s="3"/>
    </row>
    <row r="35" customFormat="false" ht="15" hidden="false" customHeight="false" outlineLevel="0" collapsed="false">
      <c r="B35" s="3"/>
      <c r="C35" s="3"/>
      <c r="D35" s="3"/>
      <c r="E35" s="3"/>
      <c r="F35" s="3"/>
    </row>
    <row r="36" customFormat="false" ht="15" hidden="false" customHeight="false" outlineLevel="0" collapsed="false">
      <c r="B36" s="3"/>
      <c r="C36" s="3"/>
      <c r="D36" s="3"/>
      <c r="E36" s="3"/>
      <c r="F36" s="3"/>
    </row>
  </sheetData>
  <mergeCells count="11">
    <mergeCell ref="B2:F2"/>
    <mergeCell ref="B3:F3"/>
    <mergeCell ref="B5:F5"/>
    <mergeCell ref="F6:F12"/>
    <mergeCell ref="B15:F15"/>
    <mergeCell ref="B27:F27"/>
    <mergeCell ref="B28:F28"/>
    <mergeCell ref="B30:C30"/>
    <mergeCell ref="D30:F30"/>
    <mergeCell ref="B31:C36"/>
    <mergeCell ref="D31:F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2026-05-24T15:45:27Z</dcterms:created>
  <dc:creator>openpyxl</dc:creator>
  <dc:description/>
  <dc:language>en-US</dc:language>
  <cp:lastModifiedBy/>
  <dcterms:modified xsi:type="dcterms:W3CDTF">2026-05-24T15:45:27Z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